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4.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G:\Documents\DESIGN TOOLS\"/>
    </mc:Choice>
  </mc:AlternateContent>
  <bookViews>
    <workbookView xWindow="-110" yWindow="-110" windowWidth="38620" windowHeight="21340" firstSheet="12" activeTab="14"/>
  </bookViews>
  <sheets>
    <sheet name="Reflections &amp; Timing" sheetId="1" r:id="rId1"/>
    <sheet name="FLOOR BOUNCE Far Field Imperial" sheetId="22" r:id="rId2"/>
    <sheet name="FLOOR BOUNCE Far Field Metric" sheetId="23" r:id="rId3"/>
    <sheet name="Nearfield - FLOOR BOUNCE " sheetId="24" r:id="rId4"/>
    <sheet name="MAM Calc" sheetId="2" r:id="rId5"/>
    <sheet name="Steel sheet weights" sheetId="15" r:id="rId6"/>
    <sheet name="Trap depths &amp; related calcs" sheetId="4" r:id="rId7"/>
    <sheet name="CEILING WEIGHT CALCULATOR" sheetId="7" r:id="rId8"/>
    <sheet name="Diffusors &amp; Poly Distance Calc" sheetId="6" r:id="rId9"/>
    <sheet name="Materials Mass" sheetId="8" r:id="rId10"/>
    <sheet name="Pressure Conversions" sheetId="9" r:id="rId11"/>
    <sheet name="3rds Octave Bands" sheetId="25" r:id="rId12"/>
    <sheet name="Speed of Sound" sheetId="10" r:id="rId13"/>
    <sheet name="dB IL - Power" sheetId="11" r:id="rId14"/>
    <sheet name="dB SPL - Pressure" sheetId="12" r:id="rId15"/>
    <sheet name="dB HL" sheetId="13" r:id="rId16"/>
    <sheet name="dB sl" sheetId="14" r:id="rId17"/>
    <sheet name="Power - Wire - gauges" sheetId="16" r:id="rId18"/>
    <sheet name="Mass-Inertia-dB" sheetId="17" r:id="rId19"/>
    <sheet name="Weighting Scale w-ISL" sheetId="18" r:id="rId20"/>
    <sheet name="Air Attenuation" sheetId="21" r:id="rId21"/>
  </sheet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36" i="18" l="1"/>
  <c r="V37" i="18"/>
  <c r="V38" i="18"/>
  <c r="V39" i="18"/>
  <c r="V40" i="18"/>
  <c r="V41" i="18"/>
  <c r="B53" i="4" l="1"/>
  <c r="B56" i="4" s="1"/>
  <c r="F106" i="1"/>
  <c r="J103" i="1"/>
  <c r="I111" i="1"/>
  <c r="I110" i="1"/>
  <c r="E105" i="1"/>
  <c r="F105" i="1" l="1"/>
  <c r="M52" i="6" l="1"/>
  <c r="N52" i="6" s="1"/>
  <c r="O52" i="6" s="1"/>
  <c r="M53" i="6"/>
  <c r="N53" i="6" s="1"/>
  <c r="O53" i="6" s="1"/>
  <c r="M51" i="6"/>
  <c r="N51" i="6" s="1"/>
  <c r="O51" i="6" s="1"/>
  <c r="M50" i="6"/>
  <c r="N50" i="6" s="1"/>
  <c r="O50" i="6" s="1"/>
  <c r="M49" i="6"/>
  <c r="N49" i="6" s="1"/>
  <c r="O49" i="6" s="1"/>
  <c r="M48" i="6"/>
  <c r="N48" i="6" s="1"/>
  <c r="O48" i="6" s="1"/>
  <c r="M47" i="6"/>
  <c r="N47" i="6" s="1"/>
  <c r="O47" i="6" s="1"/>
  <c r="M46" i="6"/>
  <c r="N46" i="6" s="1"/>
  <c r="O46" i="6" s="1"/>
  <c r="M45" i="6"/>
  <c r="N45" i="6" s="1"/>
  <c r="O45" i="6" s="1"/>
  <c r="M44" i="6"/>
  <c r="N44" i="6" s="1"/>
  <c r="O44" i="6" s="1"/>
  <c r="M43" i="6"/>
  <c r="N43" i="6" s="1"/>
  <c r="O43" i="6" s="1"/>
  <c r="M42" i="6"/>
  <c r="N42" i="6" s="1"/>
  <c r="O42" i="6" s="1"/>
  <c r="M41" i="6"/>
  <c r="N41" i="6" s="1"/>
  <c r="O41" i="6" s="1"/>
  <c r="M40" i="6"/>
  <c r="N40" i="6" s="1"/>
  <c r="O40" i="6" s="1"/>
  <c r="M39" i="6"/>
  <c r="N39" i="6" s="1"/>
  <c r="O39" i="6" s="1"/>
  <c r="M38" i="6"/>
  <c r="N38" i="6" s="1"/>
  <c r="O38" i="6" s="1"/>
  <c r="M37" i="6"/>
  <c r="N37" i="6" s="1"/>
  <c r="O37" i="6" s="1"/>
  <c r="M36" i="6"/>
  <c r="N36" i="6" s="1"/>
  <c r="O36" i="6" s="1"/>
  <c r="M35" i="6"/>
  <c r="N35" i="6" s="1"/>
  <c r="O35" i="6" s="1"/>
  <c r="M34" i="6"/>
  <c r="N34" i="6" s="1"/>
  <c r="O34" i="6" s="1"/>
  <c r="M33" i="6"/>
  <c r="N33" i="6" s="1"/>
  <c r="O33" i="6" s="1"/>
  <c r="M32" i="6"/>
  <c r="N32" i="6" s="1"/>
  <c r="O32" i="6" s="1"/>
  <c r="M31" i="6"/>
  <c r="N31" i="6" s="1"/>
  <c r="O31" i="6" s="1"/>
  <c r="M30" i="6"/>
  <c r="N30" i="6" s="1"/>
  <c r="O30" i="6" s="1"/>
  <c r="M29" i="6"/>
  <c r="N29" i="6" s="1"/>
  <c r="O29" i="6" s="1"/>
  <c r="M28" i="6"/>
  <c r="N28" i="6" s="1"/>
  <c r="O28" i="6" s="1"/>
  <c r="G28" i="6" l="1"/>
  <c r="H28" i="6" s="1"/>
  <c r="I28" i="6" s="1"/>
  <c r="J28" i="6" s="1"/>
  <c r="B28" i="6"/>
  <c r="C362" i="8"/>
  <c r="C28" i="6" l="1"/>
  <c r="D28" i="6" s="1"/>
  <c r="E28" i="6" s="1"/>
  <c r="G29" i="6"/>
  <c r="E9" i="24"/>
  <c r="B9" i="24"/>
  <c r="E5" i="24"/>
  <c r="E2" i="24"/>
  <c r="F2" i="24" s="1"/>
  <c r="G16" i="23"/>
  <c r="E16" i="23"/>
  <c r="C16" i="23"/>
  <c r="G14" i="23"/>
  <c r="E14" i="23"/>
  <c r="C14" i="23"/>
  <c r="G10" i="23"/>
  <c r="G11" i="23" s="1"/>
  <c r="E10" i="23"/>
  <c r="E11" i="23" s="1"/>
  <c r="C10" i="23"/>
  <c r="C11" i="23" s="1"/>
  <c r="E2" i="23"/>
  <c r="F2" i="23" s="1"/>
  <c r="A2" i="23" s="1"/>
  <c r="G16" i="22"/>
  <c r="G10" i="22" s="1"/>
  <c r="E16" i="22"/>
  <c r="E10" i="22" s="1"/>
  <c r="C16" i="22"/>
  <c r="C10" i="22" s="1"/>
  <c r="G14" i="22"/>
  <c r="E14" i="22"/>
  <c r="C14" i="22"/>
  <c r="E2" i="22"/>
  <c r="F2" i="22" s="1"/>
  <c r="A2" i="22" s="1"/>
  <c r="H29" i="6" l="1"/>
  <c r="I29" i="6" s="1"/>
  <c r="J29" i="6" s="1"/>
  <c r="G30" i="6"/>
  <c r="G31" i="22"/>
  <c r="G32" i="22" s="1"/>
  <c r="C12" i="23"/>
  <c r="C13" i="23" s="1"/>
  <c r="G12" i="23"/>
  <c r="G13" i="23" s="1"/>
  <c r="G15" i="23" s="1"/>
  <c r="E12" i="23"/>
  <c r="E13" i="23" s="1"/>
  <c r="C11" i="22"/>
  <c r="C12" i="22"/>
  <c r="C13" i="22" s="1"/>
  <c r="G12" i="22"/>
  <c r="G13" i="22" s="1"/>
  <c r="G11" i="22"/>
  <c r="E11" i="22"/>
  <c r="E12" i="22"/>
  <c r="E13" i="22" s="1"/>
  <c r="E15" i="22" s="1"/>
  <c r="E31" i="22"/>
  <c r="E32" i="22" s="1"/>
  <c r="E31" i="23"/>
  <c r="G31" i="23"/>
  <c r="F5" i="24"/>
  <c r="A5" i="24" s="1"/>
  <c r="A2" i="24"/>
  <c r="E32" i="23"/>
  <c r="G32" i="23"/>
  <c r="C15" i="23"/>
  <c r="E15" i="23"/>
  <c r="C31" i="23"/>
  <c r="C32" i="23" s="1"/>
  <c r="C15" i="22"/>
  <c r="C29" i="22" s="1"/>
  <c r="C31" i="22"/>
  <c r="C32" i="22" s="1"/>
  <c r="C361" i="8"/>
  <c r="H30" i="6" l="1"/>
  <c r="I30" i="6" s="1"/>
  <c r="J30" i="6" s="1"/>
  <c r="G31" i="6"/>
  <c r="G34" i="23"/>
  <c r="G35" i="23" s="1"/>
  <c r="G19" i="23"/>
  <c r="G20" i="23"/>
  <c r="E26" i="23"/>
  <c r="G27" i="23"/>
  <c r="C25" i="22"/>
  <c r="C20" i="22"/>
  <c r="C27" i="22"/>
  <c r="C19" i="22"/>
  <c r="C26" i="23"/>
  <c r="C29" i="23"/>
  <c r="E20" i="23"/>
  <c r="G17" i="23"/>
  <c r="G18" i="23"/>
  <c r="G15" i="22"/>
  <c r="G25" i="22" s="1"/>
  <c r="B10" i="24"/>
  <c r="C15" i="24"/>
  <c r="C14" i="24"/>
  <c r="C18" i="24"/>
  <c r="E10" i="24"/>
  <c r="C17" i="24"/>
  <c r="E34" i="23"/>
  <c r="E35" i="23" s="1"/>
  <c r="E18" i="23"/>
  <c r="E17" i="23"/>
  <c r="E25" i="23"/>
  <c r="E19" i="23"/>
  <c r="E23" i="23" s="1"/>
  <c r="C34" i="23"/>
  <c r="C35" i="23" s="1"/>
  <c r="C18" i="23"/>
  <c r="C17" i="23"/>
  <c r="C28" i="23"/>
  <c r="E24" i="23"/>
  <c r="C24" i="23"/>
  <c r="G25" i="23"/>
  <c r="C27" i="23"/>
  <c r="G26" i="23"/>
  <c r="E28" i="23"/>
  <c r="G29" i="23"/>
  <c r="E29" i="23"/>
  <c r="G24" i="23"/>
  <c r="G28" i="23"/>
  <c r="C20" i="23"/>
  <c r="C25" i="23"/>
  <c r="C19" i="23"/>
  <c r="G23" i="23" s="1"/>
  <c r="E27" i="23"/>
  <c r="E18" i="22"/>
  <c r="E17" i="22"/>
  <c r="E34" i="22"/>
  <c r="E35" i="22" s="1"/>
  <c r="C28" i="22"/>
  <c r="E19" i="22"/>
  <c r="C34" i="22"/>
  <c r="C35" i="22" s="1"/>
  <c r="C18" i="22"/>
  <c r="C17" i="22"/>
  <c r="C24" i="22"/>
  <c r="E20" i="22"/>
  <c r="C26" i="22"/>
  <c r="B9" i="4"/>
  <c r="C9" i="4"/>
  <c r="C351" i="8"/>
  <c r="C352" i="8"/>
  <c r="C353" i="8"/>
  <c r="C354" i="8"/>
  <c r="C355" i="8"/>
  <c r="C356" i="8"/>
  <c r="C357" i="8"/>
  <c r="C359" i="8"/>
  <c r="C322" i="8"/>
  <c r="C323" i="8"/>
  <c r="C324" i="8"/>
  <c r="C325" i="8"/>
  <c r="C326" i="8"/>
  <c r="C327" i="8"/>
  <c r="C328" i="8"/>
  <c r="C329" i="8"/>
  <c r="C330" i="8"/>
  <c r="C350" i="8"/>
  <c r="C349" i="8"/>
  <c r="C348" i="8"/>
  <c r="C347" i="8"/>
  <c r="C346" i="8"/>
  <c r="C345" i="8"/>
  <c r="C344" i="8"/>
  <c r="C343" i="8"/>
  <c r="C342" i="8"/>
  <c r="C341" i="8"/>
  <c r="C340" i="8"/>
  <c r="C339" i="8"/>
  <c r="C338" i="8"/>
  <c r="C337" i="8"/>
  <c r="C336" i="8"/>
  <c r="C335" i="8"/>
  <c r="C334" i="8"/>
  <c r="C333" i="8"/>
  <c r="C39" i="8"/>
  <c r="C38" i="8"/>
  <c r="C37" i="8"/>
  <c r="C26" i="8"/>
  <c r="C25" i="8"/>
  <c r="C24" i="8"/>
  <c r="C23" i="8"/>
  <c r="C22" i="8"/>
  <c r="C21" i="8"/>
  <c r="C20" i="8"/>
  <c r="C9" i="8"/>
  <c r="C8" i="8"/>
  <c r="C7" i="8"/>
  <c r="C6" i="8"/>
  <c r="C321" i="8"/>
  <c r="C320" i="8"/>
  <c r="C319" i="8"/>
  <c r="C318" i="8"/>
  <c r="C317" i="8"/>
  <c r="C316" i="8"/>
  <c r="C315" i="8"/>
  <c r="C314" i="8"/>
  <c r="C313" i="8"/>
  <c r="C312" i="8"/>
  <c r="C311" i="8"/>
  <c r="C310" i="8"/>
  <c r="C309" i="8"/>
  <c r="C308" i="8"/>
  <c r="C307" i="8"/>
  <c r="C306" i="8"/>
  <c r="C305" i="8"/>
  <c r="C304" i="8"/>
  <c r="C303" i="8"/>
  <c r="C302" i="8"/>
  <c r="C301" i="8"/>
  <c r="C300" i="8"/>
  <c r="C299" i="8"/>
  <c r="C298" i="8"/>
  <c r="C297" i="8"/>
  <c r="C296" i="8"/>
  <c r="C295" i="8"/>
  <c r="C294" i="8"/>
  <c r="C293" i="8"/>
  <c r="C292" i="8"/>
  <c r="C291" i="8"/>
  <c r="C290" i="8"/>
  <c r="C289" i="8"/>
  <c r="C288" i="8"/>
  <c r="C287" i="8"/>
  <c r="C286" i="8"/>
  <c r="C285" i="8"/>
  <c r="C284" i="8"/>
  <c r="C283" i="8"/>
  <c r="C282" i="8"/>
  <c r="C281" i="8"/>
  <c r="C279" i="8"/>
  <c r="C278" i="8"/>
  <c r="C277" i="8"/>
  <c r="C276" i="8"/>
  <c r="C275" i="8"/>
  <c r="C274" i="8"/>
  <c r="C273" i="8"/>
  <c r="C272" i="8"/>
  <c r="C271" i="8"/>
  <c r="C270" i="8"/>
  <c r="C269" i="8"/>
  <c r="C268" i="8"/>
  <c r="C267" i="8"/>
  <c r="C266" i="8"/>
  <c r="C265" i="8"/>
  <c r="C264" i="8"/>
  <c r="C263" i="8"/>
  <c r="C262" i="8"/>
  <c r="C261" i="8"/>
  <c r="C260" i="8"/>
  <c r="C259" i="8"/>
  <c r="C258" i="8"/>
  <c r="C257" i="8"/>
  <c r="C256" i="8"/>
  <c r="C255" i="8"/>
  <c r="C254" i="8"/>
  <c r="C253" i="8"/>
  <c r="C252" i="8"/>
  <c r="C251" i="8"/>
  <c r="C250" i="8"/>
  <c r="C249" i="8"/>
  <c r="C248" i="8"/>
  <c r="C247" i="8"/>
  <c r="C246" i="8"/>
  <c r="C245" i="8"/>
  <c r="C244" i="8"/>
  <c r="C243" i="8"/>
  <c r="C242" i="8"/>
  <c r="C241" i="8"/>
  <c r="C240" i="8"/>
  <c r="C239" i="8"/>
  <c r="C238" i="8"/>
  <c r="C237" i="8"/>
  <c r="C236" i="8"/>
  <c r="C235" i="8"/>
  <c r="C234" i="8"/>
  <c r="C233" i="8"/>
  <c r="C232" i="8"/>
  <c r="C231" i="8"/>
  <c r="C230" i="8"/>
  <c r="C229" i="8"/>
  <c r="C228" i="8"/>
  <c r="C227" i="8"/>
  <c r="C226" i="8"/>
  <c r="C225" i="8"/>
  <c r="C224" i="8"/>
  <c r="C223" i="8"/>
  <c r="C222" i="8"/>
  <c r="C221" i="8"/>
  <c r="C220" i="8"/>
  <c r="C219" i="8"/>
  <c r="C218" i="8"/>
  <c r="C217" i="8"/>
  <c r="C216" i="8"/>
  <c r="C214" i="8"/>
  <c r="C213" i="8"/>
  <c r="C212" i="8"/>
  <c r="C211" i="8"/>
  <c r="C210" i="8"/>
  <c r="C209" i="8"/>
  <c r="C208" i="8"/>
  <c r="C207" i="8"/>
  <c r="C206" i="8"/>
  <c r="C205" i="8"/>
  <c r="C204" i="8"/>
  <c r="C203" i="8"/>
  <c r="C202" i="8"/>
  <c r="C201" i="8"/>
  <c r="C200" i="8"/>
  <c r="C199" i="8"/>
  <c r="C198" i="8"/>
  <c r="C197" i="8"/>
  <c r="C196" i="8"/>
  <c r="C195" i="8"/>
  <c r="C194" i="8"/>
  <c r="C193" i="8"/>
  <c r="C192" i="8"/>
  <c r="C191" i="8"/>
  <c r="C190" i="8"/>
  <c r="C189" i="8"/>
  <c r="C188" i="8"/>
  <c r="C187" i="8"/>
  <c r="C186" i="8"/>
  <c r="C185" i="8"/>
  <c r="C184" i="8"/>
  <c r="C183" i="8"/>
  <c r="C182" i="8"/>
  <c r="C181" i="8"/>
  <c r="C180" i="8"/>
  <c r="C179" i="8"/>
  <c r="C178" i="8"/>
  <c r="C177" i="8"/>
  <c r="C176" i="8"/>
  <c r="C175" i="8"/>
  <c r="C174" i="8"/>
  <c r="C173" i="8"/>
  <c r="C172" i="8"/>
  <c r="C171" i="8"/>
  <c r="C170" i="8"/>
  <c r="C169" i="8"/>
  <c r="C168" i="8"/>
  <c r="C167" i="8"/>
  <c r="C166" i="8"/>
  <c r="C165" i="8"/>
  <c r="C164" i="8"/>
  <c r="C163" i="8"/>
  <c r="C162" i="8"/>
  <c r="C161" i="8"/>
  <c r="C160" i="8"/>
  <c r="C159" i="8"/>
  <c r="C158" i="8"/>
  <c r="C157" i="8"/>
  <c r="C156" i="8"/>
  <c r="C155" i="8"/>
  <c r="C154" i="8"/>
  <c r="C153" i="8"/>
  <c r="C152" i="8"/>
  <c r="C151" i="8"/>
  <c r="C149" i="8"/>
  <c r="C148" i="8"/>
  <c r="C147" i="8"/>
  <c r="C146" i="8"/>
  <c r="C145" i="8"/>
  <c r="C144" i="8"/>
  <c r="C143" i="8"/>
  <c r="C142" i="8"/>
  <c r="C141" i="8"/>
  <c r="C140" i="8"/>
  <c r="C139" i="8"/>
  <c r="C138" i="8"/>
  <c r="C137" i="8"/>
  <c r="C136" i="8"/>
  <c r="C135" i="8"/>
  <c r="C134" i="8"/>
  <c r="C133" i="8"/>
  <c r="C132" i="8"/>
  <c r="C131" i="8"/>
  <c r="C130" i="8"/>
  <c r="C129" i="8"/>
  <c r="C128" i="8"/>
  <c r="C127" i="8"/>
  <c r="C126" i="8"/>
  <c r="C125" i="8"/>
  <c r="C124" i="8"/>
  <c r="C123" i="8"/>
  <c r="C122" i="8"/>
  <c r="C121" i="8"/>
  <c r="C120" i="8"/>
  <c r="C119" i="8"/>
  <c r="C118" i="8"/>
  <c r="C117" i="8"/>
  <c r="C116" i="8"/>
  <c r="C115" i="8"/>
  <c r="C114" i="8"/>
  <c r="C113" i="8"/>
  <c r="C112" i="8"/>
  <c r="C111" i="8"/>
  <c r="C110" i="8"/>
  <c r="C109" i="8"/>
  <c r="C108" i="8"/>
  <c r="C107" i="8"/>
  <c r="C106" i="8"/>
  <c r="C105" i="8"/>
  <c r="C104" i="8"/>
  <c r="C103" i="8"/>
  <c r="C102" i="8"/>
  <c r="C101" i="8"/>
  <c r="C100" i="8"/>
  <c r="C99" i="8"/>
  <c r="C98" i="8"/>
  <c r="C97" i="8"/>
  <c r="C96" i="8"/>
  <c r="C95" i="8"/>
  <c r="C94" i="8"/>
  <c r="C93" i="8"/>
  <c r="C92" i="8"/>
  <c r="C91" i="8"/>
  <c r="C90" i="8"/>
  <c r="C89" i="8"/>
  <c r="C88" i="8"/>
  <c r="C87" i="8"/>
  <c r="C86" i="8"/>
  <c r="C85" i="8"/>
  <c r="C83" i="8"/>
  <c r="C82" i="8"/>
  <c r="C81" i="8"/>
  <c r="C80" i="8"/>
  <c r="C79" i="8"/>
  <c r="C78" i="8"/>
  <c r="C77" i="8"/>
  <c r="C76" i="8"/>
  <c r="C75" i="8"/>
  <c r="C74" i="8"/>
  <c r="C73" i="8"/>
  <c r="C72" i="8"/>
  <c r="C71" i="8"/>
  <c r="C70" i="8"/>
  <c r="C69" i="8"/>
  <c r="C68" i="8"/>
  <c r="C67" i="8"/>
  <c r="C66" i="8"/>
  <c r="C65" i="8"/>
  <c r="C64" i="8"/>
  <c r="C63" i="8"/>
  <c r="C62" i="8"/>
  <c r="C61" i="8"/>
  <c r="C60" i="8"/>
  <c r="C59" i="8"/>
  <c r="C58" i="8"/>
  <c r="C57" i="8"/>
  <c r="C56" i="8"/>
  <c r="C55" i="8"/>
  <c r="C54" i="8"/>
  <c r="C53" i="8"/>
  <c r="C52" i="8"/>
  <c r="C51" i="8"/>
  <c r="C50" i="8"/>
  <c r="C49" i="8"/>
  <c r="C48" i="8"/>
  <c r="C47" i="8"/>
  <c r="C46" i="8"/>
  <c r="C45" i="8"/>
  <c r="C44" i="8"/>
  <c r="C43" i="8"/>
  <c r="C42" i="8"/>
  <c r="C41" i="8"/>
  <c r="C40" i="8"/>
  <c r="C36" i="8"/>
  <c r="C35" i="8"/>
  <c r="C34" i="8"/>
  <c r="C33" i="8"/>
  <c r="C32" i="8"/>
  <c r="C31" i="8"/>
  <c r="C30" i="8"/>
  <c r="C29" i="8"/>
  <c r="C28" i="8"/>
  <c r="C27" i="8"/>
  <c r="C19" i="8"/>
  <c r="C18" i="8"/>
  <c r="C17" i="8"/>
  <c r="C16" i="8"/>
  <c r="C15" i="8"/>
  <c r="C14" i="8"/>
  <c r="C13" i="8"/>
  <c r="C12" i="8"/>
  <c r="C11" i="8"/>
  <c r="C10" i="8"/>
  <c r="C5" i="8"/>
  <c r="H31" i="6" l="1"/>
  <c r="I31" i="6" s="1"/>
  <c r="J31" i="6" s="1"/>
  <c r="G32" i="6"/>
  <c r="G24" i="22"/>
  <c r="E29" i="22"/>
  <c r="E27" i="22"/>
  <c r="G17" i="22"/>
  <c r="E26" i="22"/>
  <c r="G28" i="22"/>
  <c r="E25" i="22"/>
  <c r="G18" i="22"/>
  <c r="G20" i="22"/>
  <c r="G27" i="22"/>
  <c r="G34" i="22"/>
  <c r="G35" i="22" s="1"/>
  <c r="E24" i="22"/>
  <c r="G29" i="22"/>
  <c r="G19" i="22"/>
  <c r="G23" i="22" s="1"/>
  <c r="G26" i="22"/>
  <c r="E28" i="22"/>
  <c r="C23" i="23"/>
  <c r="C23" i="22"/>
  <c r="J41" i="18"/>
  <c r="L41" i="18" s="1"/>
  <c r="Q41" i="18" s="1"/>
  <c r="H41" i="18"/>
  <c r="G41" i="18"/>
  <c r="J40" i="18"/>
  <c r="K40" i="18" s="1"/>
  <c r="H40" i="18"/>
  <c r="G40" i="18"/>
  <c r="J39" i="18"/>
  <c r="L39" i="18" s="1"/>
  <c r="Q39" i="18" s="1"/>
  <c r="H39" i="18"/>
  <c r="G39" i="18"/>
  <c r="J38" i="18"/>
  <c r="L38" i="18" s="1"/>
  <c r="Q38" i="18" s="1"/>
  <c r="H38" i="18"/>
  <c r="G38" i="18"/>
  <c r="J37" i="18"/>
  <c r="L37" i="18" s="1"/>
  <c r="Q37" i="18" s="1"/>
  <c r="H37" i="18"/>
  <c r="G37" i="18"/>
  <c r="J36" i="18"/>
  <c r="K36" i="18" s="1"/>
  <c r="H36" i="18"/>
  <c r="G36" i="18"/>
  <c r="J35" i="18"/>
  <c r="L35" i="18" s="1"/>
  <c r="Q35" i="18" s="1"/>
  <c r="H35" i="18"/>
  <c r="G35" i="18"/>
  <c r="J34" i="18"/>
  <c r="L34" i="18" s="1"/>
  <c r="Q34" i="18" s="1"/>
  <c r="H34" i="18"/>
  <c r="G34" i="18"/>
  <c r="J33" i="18"/>
  <c r="L33" i="18" s="1"/>
  <c r="Q33" i="18" s="1"/>
  <c r="H33" i="18"/>
  <c r="G33" i="18"/>
  <c r="J32" i="18"/>
  <c r="K32" i="18" s="1"/>
  <c r="H32" i="18"/>
  <c r="G32" i="18"/>
  <c r="J31" i="18"/>
  <c r="L31" i="18" s="1"/>
  <c r="Q31" i="18" s="1"/>
  <c r="H31" i="18"/>
  <c r="G31" i="18"/>
  <c r="J30" i="18"/>
  <c r="L30" i="18" s="1"/>
  <c r="Q30" i="18" s="1"/>
  <c r="H30" i="18"/>
  <c r="G30" i="18"/>
  <c r="J29" i="18"/>
  <c r="L29" i="18" s="1"/>
  <c r="Q29" i="18" s="1"/>
  <c r="H29" i="18"/>
  <c r="G29" i="18"/>
  <c r="J28" i="18"/>
  <c r="K28" i="18" s="1"/>
  <c r="H28" i="18"/>
  <c r="G28" i="18"/>
  <c r="J27" i="18"/>
  <c r="L27" i="18" s="1"/>
  <c r="Q27" i="18" s="1"/>
  <c r="H27" i="18"/>
  <c r="G27" i="18"/>
  <c r="J26" i="18"/>
  <c r="L26" i="18" s="1"/>
  <c r="Q26" i="18" s="1"/>
  <c r="H26" i="18"/>
  <c r="G26" i="18"/>
  <c r="J25" i="18"/>
  <c r="L25" i="18" s="1"/>
  <c r="Q25" i="18" s="1"/>
  <c r="H25" i="18"/>
  <c r="G25" i="18"/>
  <c r="J24" i="18"/>
  <c r="K24" i="18" s="1"/>
  <c r="H24" i="18"/>
  <c r="G24" i="18"/>
  <c r="J23" i="18"/>
  <c r="L23" i="18" s="1"/>
  <c r="Q23" i="18" s="1"/>
  <c r="H23" i="18"/>
  <c r="G23" i="18"/>
  <c r="J22" i="18"/>
  <c r="K22" i="18" s="1"/>
  <c r="H22" i="18"/>
  <c r="G22" i="18"/>
  <c r="J21" i="18"/>
  <c r="L21" i="18" s="1"/>
  <c r="Q21" i="18" s="1"/>
  <c r="H21" i="18"/>
  <c r="G21" i="18"/>
  <c r="J20" i="18"/>
  <c r="K20" i="18" s="1"/>
  <c r="H20" i="18"/>
  <c r="G20" i="18"/>
  <c r="J19" i="18"/>
  <c r="L19" i="18" s="1"/>
  <c r="Q19" i="18" s="1"/>
  <c r="H19" i="18"/>
  <c r="G19" i="18"/>
  <c r="J18" i="18"/>
  <c r="K18" i="18" s="1"/>
  <c r="H18" i="18"/>
  <c r="G18" i="18"/>
  <c r="J17" i="18"/>
  <c r="L17" i="18" s="1"/>
  <c r="Q17" i="18" s="1"/>
  <c r="H17" i="18"/>
  <c r="G17" i="18"/>
  <c r="J16" i="18"/>
  <c r="K16" i="18" s="1"/>
  <c r="H16" i="18"/>
  <c r="G16" i="18"/>
  <c r="J15" i="18"/>
  <c r="K15" i="18" s="1"/>
  <c r="H15" i="18"/>
  <c r="G15" i="18"/>
  <c r="J14" i="18"/>
  <c r="K14" i="18" s="1"/>
  <c r="H14" i="18"/>
  <c r="G14" i="18"/>
  <c r="J13" i="18"/>
  <c r="L13" i="18" s="1"/>
  <c r="Q13" i="18" s="1"/>
  <c r="H13" i="18"/>
  <c r="G13" i="18"/>
  <c r="J12" i="18"/>
  <c r="K12" i="18" s="1"/>
  <c r="H12" i="18"/>
  <c r="G12" i="18"/>
  <c r="J11" i="18"/>
  <c r="L11" i="18" s="1"/>
  <c r="Q11" i="18" s="1"/>
  <c r="H11" i="18"/>
  <c r="G11" i="18"/>
  <c r="J10" i="18"/>
  <c r="K10" i="18" s="1"/>
  <c r="H10" i="18"/>
  <c r="G10" i="18"/>
  <c r="J9" i="18"/>
  <c r="L9" i="18" s="1"/>
  <c r="Q9" i="18" s="1"/>
  <c r="H9" i="18"/>
  <c r="G9" i="18"/>
  <c r="N4" i="18"/>
  <c r="R39" i="18" s="1"/>
  <c r="G33" i="6" l="1"/>
  <c r="H32" i="6"/>
  <c r="I32" i="6" s="1"/>
  <c r="J32" i="6" s="1"/>
  <c r="L16" i="18"/>
  <c r="Q16" i="18" s="1"/>
  <c r="L20" i="18"/>
  <c r="Q20" i="18" s="1"/>
  <c r="L14" i="18"/>
  <c r="Q14" i="18" s="1"/>
  <c r="E23" i="22"/>
  <c r="L12" i="18"/>
  <c r="Q12" i="18" s="1"/>
  <c r="K26" i="18"/>
  <c r="L10" i="18"/>
  <c r="Q10" i="18" s="1"/>
  <c r="L22" i="18"/>
  <c r="Q22" i="18" s="1"/>
  <c r="L18" i="18"/>
  <c r="Q18" i="18" s="1"/>
  <c r="S35" i="18"/>
  <c r="K34" i="18"/>
  <c r="L32" i="18"/>
  <c r="Q32" i="18" s="1"/>
  <c r="K38" i="18"/>
  <c r="S39" i="18"/>
  <c r="T39" i="18" s="1"/>
  <c r="P39" i="18" s="1"/>
  <c r="U39" i="18" s="1"/>
  <c r="N39" i="18" s="1"/>
  <c r="O39" i="18" s="1"/>
  <c r="L24" i="18"/>
  <c r="Q24" i="18" s="1"/>
  <c r="K30" i="18"/>
  <c r="L28" i="18"/>
  <c r="Q28" i="18" s="1"/>
  <c r="S11" i="18"/>
  <c r="S15" i="18"/>
  <c r="S19" i="18"/>
  <c r="L36" i="18"/>
  <c r="Q36" i="18" s="1"/>
  <c r="L40" i="18"/>
  <c r="Q40" i="18" s="1"/>
  <c r="S23" i="18"/>
  <c r="S27" i="18"/>
  <c r="S31" i="18"/>
  <c r="K11" i="18"/>
  <c r="R18" i="18"/>
  <c r="K19" i="18"/>
  <c r="R22" i="18"/>
  <c r="K23" i="18"/>
  <c r="R26" i="18"/>
  <c r="K27" i="18"/>
  <c r="R30" i="18"/>
  <c r="K31" i="18"/>
  <c r="R34" i="18"/>
  <c r="K35" i="18"/>
  <c r="R38" i="18"/>
  <c r="K39" i="18"/>
  <c r="S10" i="18"/>
  <c r="S14" i="18"/>
  <c r="L15" i="18"/>
  <c r="Q15" i="18" s="1"/>
  <c r="S18" i="18"/>
  <c r="S22" i="18"/>
  <c r="S26" i="18"/>
  <c r="S30" i="18"/>
  <c r="S34" i="18"/>
  <c r="S38" i="18"/>
  <c r="R13" i="18"/>
  <c r="R17" i="18"/>
  <c r="R21" i="18"/>
  <c r="S13" i="18"/>
  <c r="S17" i="18"/>
  <c r="S21" i="18"/>
  <c r="S25" i="18"/>
  <c r="S29" i="18"/>
  <c r="S33" i="18"/>
  <c r="S37" i="18"/>
  <c r="S41" i="18"/>
  <c r="R25" i="18"/>
  <c r="S9" i="18"/>
  <c r="K9" i="18"/>
  <c r="R12" i="18"/>
  <c r="K13" i="18"/>
  <c r="R16" i="18"/>
  <c r="K17" i="18"/>
  <c r="R20" i="18"/>
  <c r="K21" i="18"/>
  <c r="R24" i="18"/>
  <c r="K25" i="18"/>
  <c r="R28" i="18"/>
  <c r="K29" i="18"/>
  <c r="R32" i="18"/>
  <c r="K33" i="18"/>
  <c r="R36" i="18"/>
  <c r="K37" i="18"/>
  <c r="R40" i="18"/>
  <c r="K41" i="18"/>
  <c r="R10" i="18"/>
  <c r="R9" i="18"/>
  <c r="R37" i="18"/>
  <c r="S12" i="18"/>
  <c r="S16" i="18"/>
  <c r="S20" i="18"/>
  <c r="S24" i="18"/>
  <c r="S28" i="18"/>
  <c r="S32" i="18"/>
  <c r="S36" i="18"/>
  <c r="S40" i="18"/>
  <c r="R14" i="18"/>
  <c r="R29" i="18"/>
  <c r="R33" i="18"/>
  <c r="R41" i="18"/>
  <c r="R11" i="18"/>
  <c r="R15" i="18"/>
  <c r="R19" i="18"/>
  <c r="R23" i="18"/>
  <c r="R27" i="18"/>
  <c r="R31" i="18"/>
  <c r="T31" i="18" s="1"/>
  <c r="P31" i="18" s="1"/>
  <c r="U31" i="18" s="1"/>
  <c r="V31" i="18" s="1"/>
  <c r="N31" i="18" s="1"/>
  <c r="O31" i="18" s="1"/>
  <c r="R35" i="18"/>
  <c r="B10" i="17"/>
  <c r="B4" i="17"/>
  <c r="B7" i="17" s="1"/>
  <c r="B8" i="17" s="1"/>
  <c r="B20" i="17"/>
  <c r="B14" i="17"/>
  <c r="B17" i="17" s="1"/>
  <c r="B18" i="17" s="1"/>
  <c r="T15" i="18" l="1"/>
  <c r="P15" i="18" s="1"/>
  <c r="U15" i="18" s="1"/>
  <c r="T28" i="18"/>
  <c r="P28" i="18" s="1"/>
  <c r="U28" i="18" s="1"/>
  <c r="G34" i="6"/>
  <c r="H33" i="6"/>
  <c r="I33" i="6" s="1"/>
  <c r="J33" i="6" s="1"/>
  <c r="T18" i="18"/>
  <c r="P18" i="18" s="1"/>
  <c r="U18" i="18" s="1"/>
  <c r="V18" i="18" s="1"/>
  <c r="N18" i="18" s="1"/>
  <c r="O18" i="18" s="1"/>
  <c r="T26" i="18"/>
  <c r="P26" i="18" s="1"/>
  <c r="U26" i="18" s="1"/>
  <c r="V26" i="18" s="1"/>
  <c r="N26" i="18" s="1"/>
  <c r="O26" i="18" s="1"/>
  <c r="T35" i="18"/>
  <c r="P35" i="18" s="1"/>
  <c r="U35" i="18" s="1"/>
  <c r="V35" i="18" s="1"/>
  <c r="N35" i="18" s="1"/>
  <c r="O35" i="18" s="1"/>
  <c r="T9" i="18"/>
  <c r="P9" i="18" s="1"/>
  <c r="U9" i="18" s="1"/>
  <c r="V9" i="18" s="1"/>
  <c r="N9" i="18" s="1"/>
  <c r="O9" i="18" s="1"/>
  <c r="T23" i="18"/>
  <c r="P23" i="18" s="1"/>
  <c r="U23" i="18" s="1"/>
  <c r="V23" i="18" s="1"/>
  <c r="N23" i="18" s="1"/>
  <c r="O23" i="18" s="1"/>
  <c r="T32" i="18"/>
  <c r="P32" i="18" s="1"/>
  <c r="U32" i="18" s="1"/>
  <c r="V32" i="18" s="1"/>
  <c r="N32" i="18" s="1"/>
  <c r="O32" i="18" s="1"/>
  <c r="T16" i="18"/>
  <c r="P16" i="18" s="1"/>
  <c r="U16" i="18" s="1"/>
  <c r="V16" i="18" s="1"/>
  <c r="N16" i="18" s="1"/>
  <c r="O16" i="18" s="1"/>
  <c r="T13" i="18"/>
  <c r="P13" i="18" s="1"/>
  <c r="U13" i="18" s="1"/>
  <c r="V13" i="18" s="1"/>
  <c r="N13" i="18" s="1"/>
  <c r="O13" i="18" s="1"/>
  <c r="T19" i="18"/>
  <c r="P19" i="18" s="1"/>
  <c r="U19" i="18" s="1"/>
  <c r="V19" i="18" s="1"/>
  <c r="N19" i="18" s="1"/>
  <c r="O19" i="18" s="1"/>
  <c r="T11" i="18"/>
  <c r="P11" i="18" s="1"/>
  <c r="U11" i="18" s="1"/>
  <c r="V11" i="18" s="1"/>
  <c r="N11" i="18" s="1"/>
  <c r="O11" i="18" s="1"/>
  <c r="T41" i="18"/>
  <c r="P41" i="18" s="1"/>
  <c r="U41" i="18" s="1"/>
  <c r="N41" i="18" s="1"/>
  <c r="O41" i="18" s="1"/>
  <c r="V28" i="18"/>
  <c r="N28" i="18" s="1"/>
  <c r="O28" i="18" s="1"/>
  <c r="T25" i="18"/>
  <c r="P25" i="18" s="1"/>
  <c r="U25" i="18" s="1"/>
  <c r="V25" i="18" s="1"/>
  <c r="N25" i="18" s="1"/>
  <c r="O25" i="18" s="1"/>
  <c r="T34" i="18"/>
  <c r="P34" i="18" s="1"/>
  <c r="U34" i="18" s="1"/>
  <c r="V34" i="18" s="1"/>
  <c r="N34" i="18" s="1"/>
  <c r="O34" i="18" s="1"/>
  <c r="T27" i="18"/>
  <c r="P27" i="18" s="1"/>
  <c r="U27" i="18" s="1"/>
  <c r="V27" i="18" s="1"/>
  <c r="N27" i="18" s="1"/>
  <c r="O27" i="18" s="1"/>
  <c r="T14" i="18"/>
  <c r="P14" i="18" s="1"/>
  <c r="U14" i="18" s="1"/>
  <c r="V14" i="18" s="1"/>
  <c r="N14" i="18" s="1"/>
  <c r="O14" i="18" s="1"/>
  <c r="T17" i="18"/>
  <c r="P17" i="18" s="1"/>
  <c r="U17" i="18" s="1"/>
  <c r="V17" i="18" s="1"/>
  <c r="N17" i="18" s="1"/>
  <c r="O17" i="18" s="1"/>
  <c r="T30" i="18"/>
  <c r="P30" i="18" s="1"/>
  <c r="U30" i="18" s="1"/>
  <c r="V30" i="18" s="1"/>
  <c r="N30" i="18" s="1"/>
  <c r="O30" i="18" s="1"/>
  <c r="T37" i="18"/>
  <c r="P37" i="18" s="1"/>
  <c r="U37" i="18" s="1"/>
  <c r="N37" i="18" s="1"/>
  <c r="O37" i="18" s="1"/>
  <c r="V15" i="18"/>
  <c r="N15" i="18" s="1"/>
  <c r="O15" i="18" s="1"/>
  <c r="T12" i="18"/>
  <c r="P12" i="18" s="1"/>
  <c r="U12" i="18" s="1"/>
  <c r="V12" i="18" s="1"/>
  <c r="N12" i="18" s="1"/>
  <c r="O12" i="18" s="1"/>
  <c r="T38" i="18"/>
  <c r="P38" i="18" s="1"/>
  <c r="U38" i="18" s="1"/>
  <c r="N38" i="18" s="1"/>
  <c r="O38" i="18" s="1"/>
  <c r="T22" i="18"/>
  <c r="P22" i="18" s="1"/>
  <c r="U22" i="18" s="1"/>
  <c r="V22" i="18" s="1"/>
  <c r="N22" i="18" s="1"/>
  <c r="O22" i="18" s="1"/>
  <c r="T10" i="18"/>
  <c r="P10" i="18" s="1"/>
  <c r="U10" i="18" s="1"/>
  <c r="V10" i="18" s="1"/>
  <c r="N10" i="18" s="1"/>
  <c r="O10" i="18" s="1"/>
  <c r="T40" i="18"/>
  <c r="P40" i="18" s="1"/>
  <c r="U40" i="18" s="1"/>
  <c r="N40" i="18" s="1"/>
  <c r="O40" i="18" s="1"/>
  <c r="T24" i="18"/>
  <c r="P24" i="18" s="1"/>
  <c r="U24" i="18" s="1"/>
  <c r="V24" i="18" s="1"/>
  <c r="N24" i="18" s="1"/>
  <c r="O24" i="18" s="1"/>
  <c r="T33" i="18"/>
  <c r="P33" i="18" s="1"/>
  <c r="U33" i="18" s="1"/>
  <c r="V33" i="18" s="1"/>
  <c r="N33" i="18" s="1"/>
  <c r="O33" i="18" s="1"/>
  <c r="T29" i="18"/>
  <c r="P29" i="18" s="1"/>
  <c r="U29" i="18" s="1"/>
  <c r="V29" i="18" s="1"/>
  <c r="N29" i="18" s="1"/>
  <c r="O29" i="18" s="1"/>
  <c r="T36" i="18"/>
  <c r="P36" i="18" s="1"/>
  <c r="U36" i="18" s="1"/>
  <c r="N36" i="18" s="1"/>
  <c r="O36" i="18" s="1"/>
  <c r="T20" i="18"/>
  <c r="P20" i="18" s="1"/>
  <c r="U20" i="18" s="1"/>
  <c r="V20" i="18" s="1"/>
  <c r="N20" i="18" s="1"/>
  <c r="O20" i="18" s="1"/>
  <c r="T21" i="18"/>
  <c r="P21" i="18" s="1"/>
  <c r="U21" i="18" s="1"/>
  <c r="V21" i="18" s="1"/>
  <c r="N21" i="18" s="1"/>
  <c r="O21" i="18" s="1"/>
  <c r="B11" i="17"/>
  <c r="B21" i="17"/>
  <c r="B30" i="17"/>
  <c r="B24" i="17"/>
  <c r="B27" i="17" s="1"/>
  <c r="B28" i="17" s="1"/>
  <c r="H34" i="6" l="1"/>
  <c r="I34" i="6" s="1"/>
  <c r="J34" i="6" s="1"/>
  <c r="G35" i="6"/>
  <c r="B31" i="17"/>
  <c r="H35" i="6" l="1"/>
  <c r="I35" i="6" s="1"/>
  <c r="J35" i="6" s="1"/>
  <c r="G36" i="6"/>
  <c r="B22" i="16"/>
  <c r="G37" i="6" l="1"/>
  <c r="H36" i="6"/>
  <c r="I36" i="6" s="1"/>
  <c r="J36" i="6" s="1"/>
  <c r="B37" i="17"/>
  <c r="B43" i="17"/>
  <c r="G38" i="6" l="1"/>
  <c r="H37" i="6"/>
  <c r="I37" i="6" s="1"/>
  <c r="J37" i="6" s="1"/>
  <c r="X64" i="16"/>
  <c r="Z63" i="16"/>
  <c r="Y63" i="16"/>
  <c r="Z62" i="16"/>
  <c r="Y62" i="16"/>
  <c r="Z61" i="16"/>
  <c r="Y61" i="16"/>
  <c r="Z60" i="16"/>
  <c r="Y60" i="16"/>
  <c r="Z59" i="16"/>
  <c r="Y59" i="16"/>
  <c r="Z58" i="16"/>
  <c r="Y58" i="16"/>
  <c r="Z57" i="16"/>
  <c r="Y57" i="16"/>
  <c r="Z56" i="16"/>
  <c r="Y56" i="16"/>
  <c r="Z55" i="16"/>
  <c r="Y55" i="16"/>
  <c r="Z54" i="16"/>
  <c r="Y54" i="16"/>
  <c r="Z53" i="16"/>
  <c r="Y53" i="16"/>
  <c r="Z52" i="16"/>
  <c r="Y52" i="16"/>
  <c r="Z51" i="16"/>
  <c r="Y51" i="16"/>
  <c r="Z50" i="16"/>
  <c r="Y50" i="16"/>
  <c r="Z49" i="16"/>
  <c r="Y49" i="16"/>
  <c r="Z48" i="16"/>
  <c r="Y48" i="16"/>
  <c r="Z47" i="16"/>
  <c r="Y47" i="16"/>
  <c r="Z46" i="16"/>
  <c r="Y46" i="16"/>
  <c r="Z45" i="16"/>
  <c r="Y45" i="16"/>
  <c r="Z44" i="16"/>
  <c r="Y44" i="16"/>
  <c r="Z43" i="16"/>
  <c r="Y43" i="16"/>
  <c r="Z42" i="16"/>
  <c r="Y42" i="16"/>
  <c r="Z41" i="16"/>
  <c r="Y41" i="16"/>
  <c r="Z40" i="16"/>
  <c r="Y40" i="16"/>
  <c r="Z39" i="16"/>
  <c r="Y39" i="16"/>
  <c r="Z38" i="16"/>
  <c r="Y38" i="16"/>
  <c r="Z37" i="16"/>
  <c r="Y37" i="16"/>
  <c r="Z36" i="16"/>
  <c r="Y36" i="16"/>
  <c r="Z35" i="16"/>
  <c r="Y35" i="16"/>
  <c r="Z34" i="16"/>
  <c r="Y34" i="16"/>
  <c r="Z33" i="16"/>
  <c r="Y33" i="16"/>
  <c r="Z32" i="16"/>
  <c r="Y32" i="16"/>
  <c r="Z31" i="16"/>
  <c r="Y31" i="16"/>
  <c r="Z30" i="16"/>
  <c r="Y30" i="16"/>
  <c r="Z29" i="16"/>
  <c r="Y29" i="16"/>
  <c r="Z28" i="16"/>
  <c r="Y28" i="16"/>
  <c r="Z27" i="16"/>
  <c r="Y27" i="16"/>
  <c r="Z26" i="16"/>
  <c r="Y26" i="16"/>
  <c r="Z25" i="16"/>
  <c r="Y25" i="16"/>
  <c r="Z24" i="16"/>
  <c r="Y24" i="16"/>
  <c r="Z23" i="16"/>
  <c r="Y23" i="16"/>
  <c r="Z22" i="16"/>
  <c r="Y22" i="16"/>
  <c r="Z21" i="16"/>
  <c r="Y21" i="16"/>
  <c r="Z20" i="16"/>
  <c r="Y20" i="16"/>
  <c r="Z19" i="16"/>
  <c r="Y19" i="16"/>
  <c r="Z18" i="16"/>
  <c r="Y18" i="16"/>
  <c r="Z17" i="16"/>
  <c r="Y17" i="16"/>
  <c r="Z16" i="16"/>
  <c r="Y16" i="16"/>
  <c r="Z15" i="16"/>
  <c r="Y15" i="16"/>
  <c r="Z14" i="16"/>
  <c r="Y14" i="16"/>
  <c r="Z13" i="16"/>
  <c r="Y13" i="16"/>
  <c r="E13" i="16"/>
  <c r="Z12" i="16"/>
  <c r="Y12" i="16"/>
  <c r="E12" i="16"/>
  <c r="Z11" i="16"/>
  <c r="Y11" i="16"/>
  <c r="E11" i="16"/>
  <c r="Z10" i="16"/>
  <c r="Y10" i="16"/>
  <c r="E10" i="16"/>
  <c r="Z9" i="16"/>
  <c r="Y9" i="16"/>
  <c r="E9" i="16"/>
  <c r="Z8" i="16"/>
  <c r="Y8" i="16"/>
  <c r="E8" i="16"/>
  <c r="Z7" i="16"/>
  <c r="Y7" i="16"/>
  <c r="E7" i="16"/>
  <c r="Z6" i="16"/>
  <c r="Y6" i="16"/>
  <c r="E6" i="16"/>
  <c r="Z5" i="16"/>
  <c r="Y5" i="16"/>
  <c r="E5" i="16"/>
  <c r="Z4" i="16"/>
  <c r="Y4" i="16"/>
  <c r="V4" i="16"/>
  <c r="V5" i="16" s="1"/>
  <c r="V6" i="16" s="1"/>
  <c r="V7" i="16" s="1"/>
  <c r="V8" i="16" s="1"/>
  <c r="V9" i="16" s="1"/>
  <c r="V10" i="16" s="1"/>
  <c r="V11" i="16" s="1"/>
  <c r="V12" i="16" s="1"/>
  <c r="V13" i="16" s="1"/>
  <c r="V14" i="16" s="1"/>
  <c r="V15" i="16" s="1"/>
  <c r="V16" i="16" s="1"/>
  <c r="V17" i="16" s="1"/>
  <c r="V18" i="16" s="1"/>
  <c r="V19" i="16" s="1"/>
  <c r="V20" i="16" s="1"/>
  <c r="V21" i="16" s="1"/>
  <c r="V22" i="16" s="1"/>
  <c r="V23" i="16" s="1"/>
  <c r="V24" i="16" s="1"/>
  <c r="V25" i="16" s="1"/>
  <c r="V26" i="16" s="1"/>
  <c r="V27" i="16" s="1"/>
  <c r="V28" i="16" s="1"/>
  <c r="V29" i="16" s="1"/>
  <c r="V30" i="16" s="1"/>
  <c r="V31" i="16" s="1"/>
  <c r="V32" i="16" s="1"/>
  <c r="V33" i="16" s="1"/>
  <c r="V34" i="16" s="1"/>
  <c r="V35" i="16" s="1"/>
  <c r="V36" i="16" s="1"/>
  <c r="V37" i="16" s="1"/>
  <c r="V38" i="16" s="1"/>
  <c r="V39" i="16" s="1"/>
  <c r="V40" i="16" s="1"/>
  <c r="V41" i="16" s="1"/>
  <c r="V42" i="16" s="1"/>
  <c r="V43" i="16" s="1"/>
  <c r="V44" i="16" s="1"/>
  <c r="V45" i="16" s="1"/>
  <c r="V46" i="16" s="1"/>
  <c r="V47" i="16" s="1"/>
  <c r="V48" i="16" s="1"/>
  <c r="V49" i="16" s="1"/>
  <c r="V50" i="16" s="1"/>
  <c r="V51" i="16" s="1"/>
  <c r="V52" i="16" s="1"/>
  <c r="V53" i="16" s="1"/>
  <c r="V54" i="16" s="1"/>
  <c r="V55" i="16" s="1"/>
  <c r="V56" i="16" s="1"/>
  <c r="V57" i="16" s="1"/>
  <c r="V58" i="16" s="1"/>
  <c r="V59" i="16" s="1"/>
  <c r="V60" i="16" s="1"/>
  <c r="V61" i="16" s="1"/>
  <c r="V62" i="16" s="1"/>
  <c r="V63" i="16" s="1"/>
  <c r="Z3" i="16"/>
  <c r="Y3" i="16"/>
  <c r="H38" i="6" l="1"/>
  <c r="I38" i="6" s="1"/>
  <c r="J38" i="6" s="1"/>
  <c r="G39" i="6"/>
  <c r="Z64" i="16"/>
  <c r="Y64" i="16"/>
  <c r="I73" i="2"/>
  <c r="K22" i="2"/>
  <c r="I22" i="2"/>
  <c r="J22" i="2" s="1"/>
  <c r="K20" i="2"/>
  <c r="I20" i="2"/>
  <c r="J20" i="2" s="1"/>
  <c r="G40" i="6" l="1"/>
  <c r="H39" i="6"/>
  <c r="I39" i="6" s="1"/>
  <c r="J39" i="6" s="1"/>
  <c r="C184" i="2"/>
  <c r="C179" i="2"/>
  <c r="H40" i="6" l="1"/>
  <c r="I40" i="6" s="1"/>
  <c r="J40" i="6" s="1"/>
  <c r="G41" i="6"/>
  <c r="O50" i="2"/>
  <c r="G42" i="6" l="1"/>
  <c r="H41" i="6"/>
  <c r="I41" i="6" s="1"/>
  <c r="J41" i="6" s="1"/>
  <c r="G23" i="4"/>
  <c r="G24" i="4" s="1"/>
  <c r="F24" i="4"/>
  <c r="B24" i="4"/>
  <c r="C23" i="4"/>
  <c r="C24" i="4" s="1"/>
  <c r="H42" i="6" l="1"/>
  <c r="I42" i="6" s="1"/>
  <c r="J42" i="6" s="1"/>
  <c r="G43" i="6"/>
  <c r="K23" i="4"/>
  <c r="K29" i="4"/>
  <c r="K28" i="4"/>
  <c r="K33" i="4"/>
  <c r="K24" i="4"/>
  <c r="K34" i="4"/>
  <c r="B10" i="10"/>
  <c r="B3" i="10"/>
  <c r="H43" i="6" l="1"/>
  <c r="I43" i="6" s="1"/>
  <c r="J43" i="6" s="1"/>
  <c r="G44" i="6"/>
  <c r="K30" i="4"/>
  <c r="K31" i="4" s="1"/>
  <c r="K35" i="4"/>
  <c r="K36" i="4" s="1"/>
  <c r="K25" i="4"/>
  <c r="K26" i="4" s="1"/>
  <c r="J73" i="2"/>
  <c r="K73" i="2"/>
  <c r="I74" i="2"/>
  <c r="J74" i="2" s="1"/>
  <c r="K74" i="2"/>
  <c r="I75" i="2"/>
  <c r="J75" i="2" s="1"/>
  <c r="K75" i="2"/>
  <c r="I76" i="2"/>
  <c r="J76" i="2" s="1"/>
  <c r="K76" i="2"/>
  <c r="I77" i="2"/>
  <c r="J77" i="2" s="1"/>
  <c r="K77" i="2"/>
  <c r="I78" i="2"/>
  <c r="J78" i="2" s="1"/>
  <c r="K78" i="2"/>
  <c r="G45" i="6" l="1"/>
  <c r="H44" i="6"/>
  <c r="I44" i="6" s="1"/>
  <c r="J44" i="6" s="1"/>
  <c r="B7" i="4"/>
  <c r="H45" i="6" l="1"/>
  <c r="I45" i="6" s="1"/>
  <c r="J45" i="6" s="1"/>
  <c r="G46" i="6"/>
  <c r="I51" i="2"/>
  <c r="J51" i="2" s="1"/>
  <c r="K51" i="2"/>
  <c r="I52" i="2"/>
  <c r="J52" i="2" s="1"/>
  <c r="K52" i="2"/>
  <c r="I53" i="2"/>
  <c r="J53" i="2" s="1"/>
  <c r="K53" i="2"/>
  <c r="I54" i="2"/>
  <c r="J54" i="2" s="1"/>
  <c r="K54" i="2"/>
  <c r="G47" i="6" l="1"/>
  <c r="H46" i="6"/>
  <c r="I46" i="6" s="1"/>
  <c r="J46" i="6" s="1"/>
  <c r="I72" i="2"/>
  <c r="J72" i="2" s="1"/>
  <c r="K72" i="2"/>
  <c r="G48" i="6" l="1"/>
  <c r="H47" i="6"/>
  <c r="I47" i="6" s="1"/>
  <c r="J47" i="6" s="1"/>
  <c r="K69" i="2"/>
  <c r="I69" i="2"/>
  <c r="J69" i="2" s="1"/>
  <c r="G49" i="6" l="1"/>
  <c r="H48" i="6"/>
  <c r="I48" i="6" s="1"/>
  <c r="J48" i="6" s="1"/>
  <c r="I65" i="2"/>
  <c r="J65" i="2" s="1"/>
  <c r="K65" i="2"/>
  <c r="I66" i="2"/>
  <c r="J66" i="2" s="1"/>
  <c r="K66" i="2"/>
  <c r="I67" i="2"/>
  <c r="J67" i="2" s="1"/>
  <c r="K67" i="2"/>
  <c r="I68" i="2"/>
  <c r="J68" i="2" s="1"/>
  <c r="K68" i="2"/>
  <c r="I70" i="2"/>
  <c r="J70" i="2" s="1"/>
  <c r="K70" i="2"/>
  <c r="I71" i="2"/>
  <c r="J71" i="2" s="1"/>
  <c r="K71" i="2"/>
  <c r="G50" i="6" l="1"/>
  <c r="H49" i="6"/>
  <c r="I49" i="6" s="1"/>
  <c r="J49" i="6" s="1"/>
  <c r="G83" i="2"/>
  <c r="H83" i="2" s="1"/>
  <c r="I83" i="2" s="1"/>
  <c r="J83" i="2" s="1"/>
  <c r="K83" i="2" s="1"/>
  <c r="L83" i="2" s="1"/>
  <c r="M83" i="2" s="1"/>
  <c r="N83" i="2" s="1"/>
  <c r="O83" i="2" s="1"/>
  <c r="P83" i="2" s="1"/>
  <c r="Q83" i="2" s="1"/>
  <c r="R83" i="2" s="1"/>
  <c r="S83" i="2" s="1"/>
  <c r="T83" i="2" s="1"/>
  <c r="U83" i="2" s="1"/>
  <c r="V83" i="2" s="1"/>
  <c r="W83" i="2" s="1"/>
  <c r="X83" i="2" s="1"/>
  <c r="Y83" i="2" s="1"/>
  <c r="Z83" i="2" s="1"/>
  <c r="AA83" i="2" s="1"/>
  <c r="AB83" i="2" s="1"/>
  <c r="AC83" i="2" s="1"/>
  <c r="AD83" i="2" s="1"/>
  <c r="AE83" i="2" s="1"/>
  <c r="AF83" i="2" s="1"/>
  <c r="AG83" i="2" s="1"/>
  <c r="AH83" i="2" s="1"/>
  <c r="C81" i="2"/>
  <c r="G51" i="6" l="1"/>
  <c r="H50" i="6"/>
  <c r="I50" i="6" s="1"/>
  <c r="J50" i="6" s="1"/>
  <c r="D81" i="2"/>
  <c r="E81" i="2" s="1"/>
  <c r="F81" i="2" s="1"/>
  <c r="G81" i="2" s="1"/>
  <c r="H81" i="2" s="1"/>
  <c r="I81" i="2" s="1"/>
  <c r="J81" i="2" s="1"/>
  <c r="K81" i="2" s="1"/>
  <c r="L81" i="2" s="1"/>
  <c r="M81" i="2" s="1"/>
  <c r="N81" i="2" s="1"/>
  <c r="O81" i="2" s="1"/>
  <c r="P81" i="2" s="1"/>
  <c r="Q81" i="2" s="1"/>
  <c r="R81" i="2" s="1"/>
  <c r="S81" i="2" s="1"/>
  <c r="T81" i="2" s="1"/>
  <c r="U81" i="2" s="1"/>
  <c r="V81" i="2" s="1"/>
  <c r="W81" i="2" s="1"/>
  <c r="X81" i="2" s="1"/>
  <c r="Y81" i="2" s="1"/>
  <c r="Z81" i="2" s="1"/>
  <c r="AA81" i="2" s="1"/>
  <c r="AB81" i="2" s="1"/>
  <c r="AC81" i="2" s="1"/>
  <c r="AD81" i="2" s="1"/>
  <c r="B82" i="2"/>
  <c r="G52" i="6" l="1"/>
  <c r="H51" i="6"/>
  <c r="I51" i="6" s="1"/>
  <c r="J51" i="6" s="1"/>
  <c r="G84" i="2"/>
  <c r="H84" i="2" s="1"/>
  <c r="I84" i="2" s="1"/>
  <c r="J84" i="2" s="1"/>
  <c r="K84" i="2" s="1"/>
  <c r="L84" i="2" s="1"/>
  <c r="M84" i="2" s="1"/>
  <c r="N84" i="2" s="1"/>
  <c r="O84" i="2" s="1"/>
  <c r="P84" i="2" s="1"/>
  <c r="Q84" i="2" s="1"/>
  <c r="R84" i="2" s="1"/>
  <c r="S84" i="2" s="1"/>
  <c r="T84" i="2" s="1"/>
  <c r="U84" i="2" s="1"/>
  <c r="V84" i="2" s="1"/>
  <c r="W84" i="2" s="1"/>
  <c r="X84" i="2" s="1"/>
  <c r="Y84" i="2" s="1"/>
  <c r="Z84" i="2" s="1"/>
  <c r="AA84" i="2" s="1"/>
  <c r="AB84" i="2" s="1"/>
  <c r="AC84" i="2" s="1"/>
  <c r="AD84" i="2" s="1"/>
  <c r="AE84" i="2" s="1"/>
  <c r="AF84" i="2" s="1"/>
  <c r="AG84" i="2" s="1"/>
  <c r="AH84" i="2" s="1"/>
  <c r="C82" i="2"/>
  <c r="D82" i="2" s="1"/>
  <c r="E82" i="2" s="1"/>
  <c r="F82" i="2" s="1"/>
  <c r="G82" i="2" s="1"/>
  <c r="H82" i="2" s="1"/>
  <c r="I82" i="2" s="1"/>
  <c r="J82" i="2" s="1"/>
  <c r="K82" i="2" s="1"/>
  <c r="L82" i="2" s="1"/>
  <c r="M82" i="2" s="1"/>
  <c r="N82" i="2" s="1"/>
  <c r="O82" i="2" s="1"/>
  <c r="P82" i="2" s="1"/>
  <c r="Q82" i="2" s="1"/>
  <c r="R82" i="2" s="1"/>
  <c r="S82" i="2" s="1"/>
  <c r="T82" i="2" s="1"/>
  <c r="U82" i="2" s="1"/>
  <c r="V82" i="2" s="1"/>
  <c r="W82" i="2" s="1"/>
  <c r="X82" i="2" s="1"/>
  <c r="Y82" i="2" s="1"/>
  <c r="Z82" i="2" s="1"/>
  <c r="AA82" i="2" s="1"/>
  <c r="AB82" i="2" s="1"/>
  <c r="AC82" i="2" s="1"/>
  <c r="AD82" i="2" s="1"/>
  <c r="C38" i="2"/>
  <c r="B38" i="2"/>
  <c r="A27" i="2"/>
  <c r="A21" i="2"/>
  <c r="C142" i="2"/>
  <c r="D140" i="2"/>
  <c r="C140" i="2"/>
  <c r="K138" i="2"/>
  <c r="K137" i="2"/>
  <c r="B135" i="2"/>
  <c r="K134" i="2"/>
  <c r="K133" i="2"/>
  <c r="H130" i="2"/>
  <c r="B130" i="2"/>
  <c r="H129" i="2"/>
  <c r="H127" i="2"/>
  <c r="G127" i="2"/>
  <c r="G53" i="6" l="1"/>
  <c r="H53" i="6" s="1"/>
  <c r="I53" i="6" s="1"/>
  <c r="J53" i="6" s="1"/>
  <c r="H52" i="6"/>
  <c r="I52" i="6" s="1"/>
  <c r="J52" i="6" s="1"/>
  <c r="A40" i="2"/>
  <c r="A41" i="2" s="1"/>
  <c r="B80" i="2" s="1"/>
  <c r="A35" i="2"/>
  <c r="A36" i="2" s="1"/>
  <c r="B8" i="1"/>
  <c r="D34" i="4"/>
  <c r="D30" i="4"/>
  <c r="B30" i="4"/>
  <c r="C40" i="4"/>
  <c r="C39" i="4"/>
  <c r="K63" i="2"/>
  <c r="I63" i="2"/>
  <c r="J63" i="2" s="1"/>
  <c r="I61" i="2"/>
  <c r="J61" i="2" s="1"/>
  <c r="K61" i="2"/>
  <c r="I62" i="2"/>
  <c r="J62" i="2" s="1"/>
  <c r="K62" i="2"/>
  <c r="I64" i="2"/>
  <c r="J64" i="2" s="1"/>
  <c r="K64" i="2"/>
  <c r="E39" i="7"/>
  <c r="G39" i="7"/>
  <c r="E40" i="7"/>
  <c r="G40" i="7"/>
  <c r="E41" i="7"/>
  <c r="G41" i="7"/>
  <c r="H41" i="7" s="1"/>
  <c r="I41" i="7" s="1"/>
  <c r="E42" i="7"/>
  <c r="G42" i="7"/>
  <c r="E43" i="7"/>
  <c r="G43" i="7"/>
  <c r="E44" i="7"/>
  <c r="G44" i="7"/>
  <c r="E15" i="7"/>
  <c r="H15" i="7" s="1"/>
  <c r="I15" i="7" s="1"/>
  <c r="E16" i="7"/>
  <c r="H16" i="7" s="1"/>
  <c r="I16" i="7" s="1"/>
  <c r="E17" i="7"/>
  <c r="H17" i="7" s="1"/>
  <c r="I17" i="7" s="1"/>
  <c r="E18" i="7"/>
  <c r="H18" i="7" s="1"/>
  <c r="I18" i="7" s="1"/>
  <c r="E19" i="7"/>
  <c r="H19" i="7" s="1"/>
  <c r="I19" i="7" s="1"/>
  <c r="E20" i="7"/>
  <c r="H20" i="7" s="1"/>
  <c r="I20" i="7" s="1"/>
  <c r="I45" i="7"/>
  <c r="G38" i="7"/>
  <c r="E38" i="7"/>
  <c r="G37" i="7"/>
  <c r="E37" i="7"/>
  <c r="H37" i="7" s="1"/>
  <c r="I37" i="7" s="1"/>
  <c r="G36" i="7"/>
  <c r="E36" i="7"/>
  <c r="G35" i="7"/>
  <c r="E35" i="7"/>
  <c r="G34" i="7"/>
  <c r="E34" i="7"/>
  <c r="G33" i="7"/>
  <c r="E33" i="7"/>
  <c r="G32" i="7"/>
  <c r="E32" i="7"/>
  <c r="G31" i="7"/>
  <c r="H31" i="7" s="1"/>
  <c r="I31" i="7" s="1"/>
  <c r="G30" i="7"/>
  <c r="E30" i="7"/>
  <c r="G29" i="7"/>
  <c r="E29" i="7"/>
  <c r="H29" i="7" s="1"/>
  <c r="I29" i="7" s="1"/>
  <c r="G28" i="7"/>
  <c r="E28" i="7"/>
  <c r="I21" i="7"/>
  <c r="E14" i="7"/>
  <c r="H14" i="7" s="1"/>
  <c r="I14" i="7" s="1"/>
  <c r="E13" i="7"/>
  <c r="H13" i="7" s="1"/>
  <c r="I13" i="7" s="1"/>
  <c r="E12" i="7"/>
  <c r="H12" i="7" s="1"/>
  <c r="I12" i="7" s="1"/>
  <c r="E11" i="7"/>
  <c r="H11" i="7" s="1"/>
  <c r="I11" i="7" s="1"/>
  <c r="E10" i="7"/>
  <c r="H10" i="7" s="1"/>
  <c r="I10" i="7" s="1"/>
  <c r="E9" i="7"/>
  <c r="H9" i="7" s="1"/>
  <c r="I9" i="7" s="1"/>
  <c r="E8" i="7"/>
  <c r="H8" i="7" s="1"/>
  <c r="I8" i="7" s="1"/>
  <c r="H7" i="7"/>
  <c r="I7" i="7" s="1"/>
  <c r="E6" i="7"/>
  <c r="H6" i="7" s="1"/>
  <c r="I6" i="7" s="1"/>
  <c r="E5" i="7"/>
  <c r="H5" i="7" s="1"/>
  <c r="I5" i="7" s="1"/>
  <c r="E4" i="7"/>
  <c r="H4" i="7" s="1"/>
  <c r="I4" i="7" s="1"/>
  <c r="C70" i="14"/>
  <c r="C72" i="14" s="1"/>
  <c r="F71" i="14" s="1"/>
  <c r="F62" i="14"/>
  <c r="C59" i="14"/>
  <c r="C63" i="14" s="1"/>
  <c r="F53" i="14"/>
  <c r="C50" i="14"/>
  <c r="C54" i="14" s="1"/>
  <c r="C44" i="14"/>
  <c r="C39" i="14"/>
  <c r="C40" i="14" s="1"/>
  <c r="C43" i="14" s="1"/>
  <c r="C28" i="14"/>
  <c r="C24" i="14"/>
  <c r="C25" i="14" s="1"/>
  <c r="C29" i="14" s="1"/>
  <c r="C15" i="14"/>
  <c r="F15" i="14" s="1"/>
  <c r="C10" i="14"/>
  <c r="F10" i="14" s="1"/>
  <c r="F41" i="13"/>
  <c r="F25" i="13" s="1"/>
  <c r="D41" i="13"/>
  <c r="C25" i="13" s="1"/>
  <c r="C30" i="12"/>
  <c r="C24" i="12"/>
  <c r="D25" i="12" s="1"/>
  <c r="B12" i="12"/>
  <c r="B7" i="12"/>
  <c r="D21" i="11"/>
  <c r="D22" i="11" s="1"/>
  <c r="D17" i="11"/>
  <c r="E17" i="11" s="1"/>
  <c r="C10" i="11"/>
  <c r="G5" i="11"/>
  <c r="C6" i="11" s="1"/>
  <c r="K21" i="2"/>
  <c r="I21" i="2"/>
  <c r="J21" i="2" s="1"/>
  <c r="I30" i="2"/>
  <c r="J30" i="2" s="1"/>
  <c r="K30" i="2"/>
  <c r="I31" i="2"/>
  <c r="J31" i="2" s="1"/>
  <c r="K31" i="2"/>
  <c r="I32" i="2"/>
  <c r="J32" i="2" s="1"/>
  <c r="K32" i="2"/>
  <c r="I33" i="2"/>
  <c r="J33" i="2" s="1"/>
  <c r="K33" i="2"/>
  <c r="I34" i="2"/>
  <c r="J34" i="2" s="1"/>
  <c r="K34" i="2"/>
  <c r="I35" i="2"/>
  <c r="J35" i="2" s="1"/>
  <c r="K35" i="2"/>
  <c r="I36" i="2"/>
  <c r="J36" i="2" s="1"/>
  <c r="K36" i="2"/>
  <c r="I37" i="2"/>
  <c r="J37" i="2" s="1"/>
  <c r="K37" i="2"/>
  <c r="I38" i="2"/>
  <c r="J38" i="2" s="1"/>
  <c r="K38" i="2"/>
  <c r="I18" i="2"/>
  <c r="J18" i="2" s="1"/>
  <c r="K18" i="2"/>
  <c r="I19" i="2"/>
  <c r="J19" i="2" s="1"/>
  <c r="K19" i="2"/>
  <c r="I23" i="2"/>
  <c r="J23" i="2" s="1"/>
  <c r="K23" i="2"/>
  <c r="I24" i="2"/>
  <c r="J24" i="2" s="1"/>
  <c r="K24" i="2"/>
  <c r="I25" i="2"/>
  <c r="J25" i="2" s="1"/>
  <c r="K25" i="2"/>
  <c r="I26" i="2"/>
  <c r="J26" i="2" s="1"/>
  <c r="K26" i="2"/>
  <c r="I27" i="2"/>
  <c r="J27" i="2" s="1"/>
  <c r="K27" i="2"/>
  <c r="I28" i="2"/>
  <c r="J28" i="2" s="1"/>
  <c r="K28" i="2"/>
  <c r="I29" i="2"/>
  <c r="J29" i="2" s="1"/>
  <c r="K29" i="2"/>
  <c r="O32" i="2"/>
  <c r="P32" i="2"/>
  <c r="Q32" i="2"/>
  <c r="Q43" i="2" s="1"/>
  <c r="R32" i="2"/>
  <c r="R35" i="2" s="1"/>
  <c r="S32" i="2"/>
  <c r="S36" i="2" s="1"/>
  <c r="T32" i="2"/>
  <c r="T36" i="2" s="1"/>
  <c r="U32" i="2"/>
  <c r="U34" i="2" s="1"/>
  <c r="V32" i="2"/>
  <c r="V43" i="2" s="1"/>
  <c r="W32" i="2"/>
  <c r="W33" i="2" s="1"/>
  <c r="W34" i="2" s="1"/>
  <c r="W35" i="2" s="1"/>
  <c r="W36" i="2" s="1"/>
  <c r="W37" i="2" s="1"/>
  <c r="W38" i="2" s="1"/>
  <c r="W39" i="2" s="1"/>
  <c r="W40" i="2" s="1"/>
  <c r="W41" i="2" s="1"/>
  <c r="W42" i="2" s="1"/>
  <c r="W43" i="2" s="1"/>
  <c r="N32" i="2"/>
  <c r="N35" i="2" s="1"/>
  <c r="Y13" i="2"/>
  <c r="X13" i="2"/>
  <c r="W13" i="2"/>
  <c r="W21" i="2" s="1"/>
  <c r="V13" i="2"/>
  <c r="V20" i="2" s="1"/>
  <c r="U13" i="2"/>
  <c r="U18" i="2" s="1"/>
  <c r="T13" i="2"/>
  <c r="T24" i="2" s="1"/>
  <c r="S13" i="2"/>
  <c r="S16" i="2" s="1"/>
  <c r="R13" i="2"/>
  <c r="R16" i="2" s="1"/>
  <c r="Q13" i="2"/>
  <c r="Q15" i="2" s="1"/>
  <c r="P13" i="2"/>
  <c r="P14" i="2" s="1"/>
  <c r="O13" i="2"/>
  <c r="O21" i="2" s="1"/>
  <c r="N13" i="2"/>
  <c r="Q37" i="2"/>
  <c r="T34" i="2"/>
  <c r="T33" i="2"/>
  <c r="Q18" i="2"/>
  <c r="Q16" i="2"/>
  <c r="G150" i="2"/>
  <c r="H150" i="2" s="1"/>
  <c r="I49" i="2"/>
  <c r="J49" i="2" s="1"/>
  <c r="K49" i="2"/>
  <c r="I50" i="2"/>
  <c r="J50" i="2" s="1"/>
  <c r="K50" i="2"/>
  <c r="I55" i="2"/>
  <c r="J55" i="2" s="1"/>
  <c r="K55" i="2"/>
  <c r="I56" i="2"/>
  <c r="J56" i="2" s="1"/>
  <c r="K56" i="2"/>
  <c r="I57" i="2"/>
  <c r="J57" i="2" s="1"/>
  <c r="K57" i="2"/>
  <c r="I58" i="2"/>
  <c r="J58" i="2" s="1"/>
  <c r="K58" i="2"/>
  <c r="I59" i="2"/>
  <c r="J59" i="2" s="1"/>
  <c r="K59" i="2"/>
  <c r="I60" i="2"/>
  <c r="J60" i="2" s="1"/>
  <c r="K60" i="2"/>
  <c r="D23" i="6"/>
  <c r="D21" i="6"/>
  <c r="K10" i="2"/>
  <c r="K11" i="2"/>
  <c r="K12" i="2"/>
  <c r="K13" i="2"/>
  <c r="K14" i="2"/>
  <c r="K15" i="2"/>
  <c r="K16" i="2"/>
  <c r="K17" i="2"/>
  <c r="K39" i="2"/>
  <c r="K40" i="2"/>
  <c r="K41" i="2"/>
  <c r="K42" i="2"/>
  <c r="K43" i="2"/>
  <c r="K44" i="2"/>
  <c r="K45" i="2"/>
  <c r="K46" i="2"/>
  <c r="K47" i="2"/>
  <c r="K48" i="2"/>
  <c r="K9" i="2"/>
  <c r="B108" i="2"/>
  <c r="B103" i="2"/>
  <c r="A48" i="4"/>
  <c r="A47" i="4"/>
  <c r="B47" i="4"/>
  <c r="B8" i="4"/>
  <c r="B18" i="4"/>
  <c r="B19" i="4"/>
  <c r="G197" i="2"/>
  <c r="J8" i="2"/>
  <c r="G149" i="2"/>
  <c r="H149" i="2" s="1"/>
  <c r="E106" i="1"/>
  <c r="H111" i="1"/>
  <c r="D164" i="2"/>
  <c r="E164" i="2" s="1"/>
  <c r="D165" i="2"/>
  <c r="E165" i="2" s="1"/>
  <c r="H200" i="2"/>
  <c r="H199" i="2"/>
  <c r="B149" i="2"/>
  <c r="C149" i="2" s="1"/>
  <c r="B11" i="6"/>
  <c r="C168" i="2"/>
  <c r="C167" i="2"/>
  <c r="K208" i="2"/>
  <c r="K207" i="2"/>
  <c r="B205" i="2"/>
  <c r="B200" i="2"/>
  <c r="C121" i="1"/>
  <c r="C119" i="1"/>
  <c r="H197" i="2"/>
  <c r="C212" i="2"/>
  <c r="D210" i="2"/>
  <c r="C210" i="2"/>
  <c r="K204" i="2"/>
  <c r="K203" i="2"/>
  <c r="A28" i="2"/>
  <c r="AB158" i="2"/>
  <c r="AC166" i="2" s="1"/>
  <c r="AA158" i="2"/>
  <c r="AB166" i="2" s="1"/>
  <c r="Z158" i="2"/>
  <c r="AA166" i="2" s="1"/>
  <c r="Y158" i="2"/>
  <c r="Z166" i="2" s="1"/>
  <c r="X158" i="2"/>
  <c r="Y166" i="2" s="1"/>
  <c r="W158" i="2"/>
  <c r="X166" i="2" s="1"/>
  <c r="V158" i="2"/>
  <c r="W166" i="2" s="1"/>
  <c r="U158" i="2"/>
  <c r="V166" i="2" s="1"/>
  <c r="T158" i="2"/>
  <c r="U166" i="2" s="1"/>
  <c r="S158" i="2"/>
  <c r="T166" i="2" s="1"/>
  <c r="R158" i="2"/>
  <c r="S166" i="2" s="1"/>
  <c r="Q158" i="2"/>
  <c r="R166" i="2" s="1"/>
  <c r="P158" i="2"/>
  <c r="Q166" i="2" s="1"/>
  <c r="O158" i="2"/>
  <c r="P166" i="2" s="1"/>
  <c r="N158" i="2"/>
  <c r="O166" i="2" s="1"/>
  <c r="M158" i="2"/>
  <c r="N166" i="2" s="1"/>
  <c r="L158" i="2"/>
  <c r="M166" i="2" s="1"/>
  <c r="K158" i="2"/>
  <c r="L166" i="2" s="1"/>
  <c r="J158" i="2"/>
  <c r="K166" i="2" s="1"/>
  <c r="I158" i="2"/>
  <c r="J166" i="2" s="1"/>
  <c r="H158" i="2"/>
  <c r="I166" i="2" s="1"/>
  <c r="G158" i="2"/>
  <c r="H166" i="2" s="1"/>
  <c r="F158" i="2"/>
  <c r="G166" i="2" s="1"/>
  <c r="E158" i="2"/>
  <c r="F166" i="2" s="1"/>
  <c r="D158" i="2"/>
  <c r="E166" i="2" s="1"/>
  <c r="C158" i="2"/>
  <c r="D166" i="2" s="1"/>
  <c r="B158" i="2"/>
  <c r="C166" i="2" s="1"/>
  <c r="A16" i="4"/>
  <c r="A15" i="4"/>
  <c r="D63" i="1"/>
  <c r="J63" i="1"/>
  <c r="B123" i="2"/>
  <c r="B122" i="2"/>
  <c r="I10" i="2"/>
  <c r="J10" i="2" s="1"/>
  <c r="I11" i="2"/>
  <c r="J11" i="2" s="1"/>
  <c r="I12" i="2"/>
  <c r="J12" i="2" s="1"/>
  <c r="I13" i="2"/>
  <c r="J13" i="2" s="1"/>
  <c r="I14" i="2"/>
  <c r="J14" i="2" s="1"/>
  <c r="I15" i="2"/>
  <c r="J15" i="2" s="1"/>
  <c r="I16" i="2"/>
  <c r="J16" i="2" s="1"/>
  <c r="I17" i="2"/>
  <c r="J17" i="2" s="1"/>
  <c r="I39" i="2"/>
  <c r="J39" i="2" s="1"/>
  <c r="I40" i="2"/>
  <c r="J40" i="2" s="1"/>
  <c r="I41" i="2"/>
  <c r="J41" i="2" s="1"/>
  <c r="I42" i="2"/>
  <c r="J42" i="2" s="1"/>
  <c r="I43" i="2"/>
  <c r="J43" i="2" s="1"/>
  <c r="I44" i="2"/>
  <c r="J44" i="2" s="1"/>
  <c r="I45" i="2"/>
  <c r="J45" i="2" s="1"/>
  <c r="I46" i="2"/>
  <c r="J46" i="2" s="1"/>
  <c r="I47" i="2"/>
  <c r="J47" i="2" s="1"/>
  <c r="I48" i="2"/>
  <c r="J48" i="2" s="1"/>
  <c r="I9" i="2"/>
  <c r="J9" i="2" s="1"/>
  <c r="A22" i="2"/>
  <c r="H110" i="1"/>
  <c r="G105" i="1" s="1"/>
  <c r="C100" i="1"/>
  <c r="C97" i="1"/>
  <c r="G106" i="1" l="1"/>
  <c r="F15" i="4"/>
  <c r="E15" i="4"/>
  <c r="F16" i="4"/>
  <c r="E16" i="4"/>
  <c r="B15" i="4"/>
  <c r="S17" i="2"/>
  <c r="S19" i="2"/>
  <c r="S21" i="2"/>
  <c r="T20" i="2"/>
  <c r="N40" i="2"/>
  <c r="N39" i="2"/>
  <c r="S14" i="2"/>
  <c r="S15" i="2"/>
  <c r="S23" i="2"/>
  <c r="T16" i="2"/>
  <c r="T23" i="2"/>
  <c r="H36" i="7"/>
  <c r="I36" i="7" s="1"/>
  <c r="T21" i="2"/>
  <c r="T18" i="2"/>
  <c r="N42" i="2"/>
  <c r="N33" i="2"/>
  <c r="S18" i="2"/>
  <c r="S20" i="2"/>
  <c r="S22" i="2"/>
  <c r="S24" i="2"/>
  <c r="N38" i="2"/>
  <c r="N34" i="2"/>
  <c r="N37" i="2"/>
  <c r="N41" i="2"/>
  <c r="N36" i="2"/>
  <c r="W24" i="2"/>
  <c r="H44" i="7"/>
  <c r="I44" i="7" s="1"/>
  <c r="T17" i="2"/>
  <c r="H33" i="7"/>
  <c r="I33" i="7" s="1"/>
  <c r="R37" i="2"/>
  <c r="H38" i="7"/>
  <c r="I38" i="7" s="1"/>
  <c r="C30" i="14"/>
  <c r="F29" i="14" s="1"/>
  <c r="R43" i="2"/>
  <c r="H34" i="7"/>
  <c r="I34" i="7" s="1"/>
  <c r="H42" i="7"/>
  <c r="I42" i="7" s="1"/>
  <c r="H35" i="7"/>
  <c r="I35" i="7" s="1"/>
  <c r="Q21" i="2"/>
  <c r="R15" i="2"/>
  <c r="T14" i="2"/>
  <c r="T43" i="2"/>
  <c r="R41" i="2"/>
  <c r="H28" i="7"/>
  <c r="I28" i="7" s="1"/>
  <c r="C169" i="2"/>
  <c r="C170" i="2" s="1"/>
  <c r="R20" i="2"/>
  <c r="R17" i="2"/>
  <c r="R14" i="2"/>
  <c r="R38" i="2"/>
  <c r="R23" i="2"/>
  <c r="R39" i="2"/>
  <c r="R42" i="2"/>
  <c r="R33" i="2"/>
  <c r="H40" i="7"/>
  <c r="I40" i="7" s="1"/>
  <c r="Q17" i="2"/>
  <c r="Q20" i="2"/>
  <c r="U22" i="2"/>
  <c r="T42" i="2"/>
  <c r="H32" i="7"/>
  <c r="I32" i="7" s="1"/>
  <c r="D16" i="4"/>
  <c r="C16" i="4"/>
  <c r="Q14" i="2"/>
  <c r="R22" i="2"/>
  <c r="W19" i="2"/>
  <c r="T19" i="2"/>
  <c r="E18" i="11"/>
  <c r="E19" i="11" s="1"/>
  <c r="D15" i="4"/>
  <c r="C15" i="4"/>
  <c r="T35" i="2"/>
  <c r="T41" i="2"/>
  <c r="R24" i="2"/>
  <c r="W16" i="2"/>
  <c r="T22" i="2"/>
  <c r="T40" i="2"/>
  <c r="T39" i="2"/>
  <c r="R40" i="2"/>
  <c r="D24" i="12"/>
  <c r="D26" i="12" s="1"/>
  <c r="C28" i="12" s="1"/>
  <c r="D30" i="12" s="1"/>
  <c r="E30" i="12" s="1"/>
  <c r="B27" i="12" s="1"/>
  <c r="B26" i="12" s="1"/>
  <c r="T37" i="2"/>
  <c r="T38" i="2"/>
  <c r="H30" i="7"/>
  <c r="I30" i="7" s="1"/>
  <c r="H43" i="7"/>
  <c r="I43" i="7" s="1"/>
  <c r="N22" i="2"/>
  <c r="N16" i="2"/>
  <c r="N14" i="2"/>
  <c r="N23" i="2"/>
  <c r="N17" i="2"/>
  <c r="N24" i="2"/>
  <c r="Y14" i="2"/>
  <c r="Y20" i="2"/>
  <c r="Y19" i="2"/>
  <c r="Y18" i="2"/>
  <c r="Y17" i="2"/>
  <c r="Y16" i="2"/>
  <c r="Y15" i="2"/>
  <c r="Y24" i="2"/>
  <c r="Y23" i="2"/>
  <c r="Y22" i="2"/>
  <c r="Y21" i="2"/>
  <c r="O40" i="2"/>
  <c r="O37" i="2"/>
  <c r="X23" i="2"/>
  <c r="X15" i="2"/>
  <c r="X16" i="2"/>
  <c r="P43" i="2"/>
  <c r="P36" i="2"/>
  <c r="P41" i="2"/>
  <c r="P39" i="2"/>
  <c r="P42" i="2"/>
  <c r="H39" i="7"/>
  <c r="I39" i="7" s="1"/>
  <c r="Q38" i="2"/>
  <c r="Q41" i="2"/>
  <c r="C45" i="14"/>
  <c r="F43" i="14" s="1"/>
  <c r="Q42" i="2"/>
  <c r="I22" i="7"/>
  <c r="I23" i="7" s="1"/>
  <c r="W17" i="2"/>
  <c r="W14" i="2"/>
  <c r="W23" i="2"/>
  <c r="W22" i="2"/>
  <c r="W20" i="2"/>
  <c r="W18" i="2"/>
  <c r="W15" i="2"/>
  <c r="Q40" i="2"/>
  <c r="Q39" i="2"/>
  <c r="Q35" i="2"/>
  <c r="Q34" i="2"/>
  <c r="V34" i="2"/>
  <c r="Q19" i="2"/>
  <c r="Q23" i="2"/>
  <c r="Q22" i="2"/>
  <c r="V41" i="2"/>
  <c r="Q24" i="2"/>
  <c r="R19" i="2"/>
  <c r="R34" i="2"/>
  <c r="R18" i="2"/>
  <c r="P23" i="2"/>
  <c r="R21" i="2"/>
  <c r="V38" i="2"/>
  <c r="B48" i="4"/>
  <c r="C8" i="4"/>
  <c r="B34" i="4"/>
  <c r="B16" i="4"/>
  <c r="C7" i="4"/>
  <c r="D167" i="2"/>
  <c r="D168" i="2"/>
  <c r="D169" i="2" s="1"/>
  <c r="D170" i="2" s="1"/>
  <c r="T15" i="2"/>
  <c r="S41" i="2"/>
  <c r="S33" i="2"/>
  <c r="S38" i="2"/>
  <c r="N15" i="2"/>
  <c r="Q33" i="2"/>
  <c r="S42" i="2"/>
  <c r="S37" i="2"/>
  <c r="S35" i="2"/>
  <c r="S40" i="2"/>
  <c r="S39" i="2"/>
  <c r="R36" i="2"/>
  <c r="S34" i="2"/>
  <c r="S43" i="2"/>
  <c r="N20" i="2"/>
  <c r="X22" i="2"/>
  <c r="X19" i="2"/>
  <c r="X24" i="2"/>
  <c r="X21" i="2"/>
  <c r="V16" i="2"/>
  <c r="X14" i="2"/>
  <c r="U40" i="2"/>
  <c r="X17" i="2"/>
  <c r="N18" i="2"/>
  <c r="X20" i="2"/>
  <c r="X18" i="2"/>
  <c r="F164" i="2"/>
  <c r="E167" i="2"/>
  <c r="F165" i="2"/>
  <c r="E168" i="2"/>
  <c r="O17" i="2"/>
  <c r="P16" i="2"/>
  <c r="U17" i="2"/>
  <c r="U43" i="2"/>
  <c r="V42" i="2"/>
  <c r="P40" i="2"/>
  <c r="O23" i="2"/>
  <c r="P17" i="2"/>
  <c r="U21" i="2"/>
  <c r="V36" i="2"/>
  <c r="U42" i="2"/>
  <c r="N43" i="2"/>
  <c r="O24" i="2"/>
  <c r="P18" i="2"/>
  <c r="P38" i="2"/>
  <c r="U33" i="2"/>
  <c r="V24" i="2"/>
  <c r="O43" i="2"/>
  <c r="U24" i="2"/>
  <c r="P19" i="2"/>
  <c r="U16" i="2"/>
  <c r="V17" i="2"/>
  <c r="P33" i="2"/>
  <c r="V35" i="2"/>
  <c r="O19" i="2"/>
  <c r="O18" i="2"/>
  <c r="P20" i="2"/>
  <c r="U19" i="2"/>
  <c r="V21" i="2"/>
  <c r="P34" i="2"/>
  <c r="V40" i="2"/>
  <c r="P37" i="2"/>
  <c r="U41" i="2"/>
  <c r="O22" i="2"/>
  <c r="O35" i="2"/>
  <c r="O16" i="2"/>
  <c r="U15" i="2"/>
  <c r="V37" i="2"/>
  <c r="P35" i="2"/>
  <c r="P21" i="2"/>
  <c r="V14" i="2"/>
  <c r="O38" i="2"/>
  <c r="P22" i="2"/>
  <c r="U35" i="2"/>
  <c r="V39" i="2"/>
  <c r="V33" i="2"/>
  <c r="V18" i="2"/>
  <c r="P15" i="2"/>
  <c r="V15" i="2"/>
  <c r="U36" i="2"/>
  <c r="O34" i="2"/>
  <c r="P24" i="2"/>
  <c r="V19" i="2"/>
  <c r="O42" i="2"/>
  <c r="O36" i="2"/>
  <c r="O39" i="2"/>
  <c r="U23" i="2"/>
  <c r="Q36" i="2"/>
  <c r="V22" i="2"/>
  <c r="U39" i="2"/>
  <c r="U37" i="2"/>
  <c r="U20" i="2"/>
  <c r="V23" i="2"/>
  <c r="O14" i="2"/>
  <c r="O33" i="2"/>
  <c r="O41" i="2"/>
  <c r="U38" i="2"/>
  <c r="N19" i="2"/>
  <c r="N21" i="2"/>
  <c r="O15" i="2"/>
  <c r="U14" i="2"/>
  <c r="O20" i="2"/>
  <c r="I46" i="7" l="1"/>
  <c r="I47" i="7" s="1"/>
  <c r="E21" i="11"/>
  <c r="E22" i="11" s="1"/>
  <c r="F21" i="11"/>
  <c r="E169" i="2"/>
  <c r="E170" i="2" s="1"/>
  <c r="G164" i="2"/>
  <c r="G165" i="2"/>
  <c r="F168" i="2"/>
  <c r="F169" i="2" s="1"/>
  <c r="F170" i="2" s="1"/>
  <c r="F167" i="2"/>
  <c r="C21" i="11" l="1"/>
  <c r="C20" i="11" s="1"/>
  <c r="F22" i="11"/>
  <c r="H164" i="2"/>
  <c r="H165" i="2"/>
  <c r="G168" i="2"/>
  <c r="G169" i="2" s="1"/>
  <c r="G170" i="2" s="1"/>
  <c r="G167" i="2"/>
  <c r="H168" i="2" l="1"/>
  <c r="H169" i="2" s="1"/>
  <c r="H170" i="2" s="1"/>
  <c r="H167" i="2"/>
  <c r="I165" i="2"/>
  <c r="I164" i="2"/>
  <c r="I167" i="2" l="1"/>
  <c r="J165" i="2"/>
  <c r="I168" i="2"/>
  <c r="I169" i="2" s="1"/>
  <c r="I170" i="2" s="1"/>
  <c r="J164" i="2"/>
  <c r="K164" i="2" l="1"/>
  <c r="J167" i="2"/>
  <c r="K165" i="2"/>
  <c r="J168" i="2"/>
  <c r="J169" i="2" s="1"/>
  <c r="J170" i="2" s="1"/>
  <c r="K167" i="2" l="1"/>
  <c r="L165" i="2"/>
  <c r="K168" i="2"/>
  <c r="K169" i="2" s="1"/>
  <c r="K170" i="2" s="1"/>
  <c r="L164" i="2"/>
  <c r="L168" i="2" l="1"/>
  <c r="L169" i="2" s="1"/>
  <c r="L170" i="2" s="1"/>
  <c r="L167" i="2"/>
  <c r="M165" i="2"/>
  <c r="M164" i="2"/>
  <c r="M168" i="2" l="1"/>
  <c r="M169" i="2" s="1"/>
  <c r="M170" i="2" s="1"/>
  <c r="M167" i="2"/>
  <c r="N165" i="2"/>
  <c r="N164" i="2"/>
  <c r="O164" i="2" l="1"/>
  <c r="N168" i="2"/>
  <c r="N169" i="2" s="1"/>
  <c r="N170" i="2" s="1"/>
  <c r="N167" i="2"/>
  <c r="O165" i="2"/>
  <c r="O168" i="2" l="1"/>
  <c r="O169" i="2" s="1"/>
  <c r="O170" i="2" s="1"/>
  <c r="O167" i="2"/>
  <c r="P165" i="2"/>
  <c r="P164" i="2"/>
  <c r="Q164" i="2" l="1"/>
  <c r="Q165" i="2"/>
  <c r="P167" i="2"/>
  <c r="P168" i="2"/>
  <c r="P169" i="2" s="1"/>
  <c r="P170" i="2" s="1"/>
  <c r="Q168" i="2" l="1"/>
  <c r="Q169" i="2" s="1"/>
  <c r="Q170" i="2" s="1"/>
  <c r="R165" i="2"/>
  <c r="Q167" i="2"/>
  <c r="R164" i="2"/>
  <c r="S164" i="2" l="1"/>
  <c r="R168" i="2"/>
  <c r="R169" i="2" s="1"/>
  <c r="R170" i="2" s="1"/>
  <c r="S165" i="2"/>
  <c r="R167" i="2"/>
  <c r="S168" i="2" l="1"/>
  <c r="S169" i="2" s="1"/>
  <c r="S170" i="2" s="1"/>
  <c r="S167" i="2"/>
  <c r="T165" i="2"/>
  <c r="T164" i="2"/>
  <c r="T168" i="2" l="1"/>
  <c r="T169" i="2" s="1"/>
  <c r="T170" i="2" s="1"/>
  <c r="U165" i="2"/>
  <c r="T167" i="2"/>
  <c r="U164" i="2"/>
  <c r="V164" i="2" l="1"/>
  <c r="U167" i="2"/>
  <c r="V165" i="2"/>
  <c r="U168" i="2"/>
  <c r="U169" i="2" s="1"/>
  <c r="U170" i="2" s="1"/>
  <c r="V167" i="2" l="1"/>
  <c r="W165" i="2"/>
  <c r="V168" i="2"/>
  <c r="V169" i="2" s="1"/>
  <c r="V170" i="2" s="1"/>
  <c r="W164" i="2"/>
  <c r="X164" i="2" l="1"/>
  <c r="W168" i="2"/>
  <c r="W169" i="2" s="1"/>
  <c r="W170" i="2" s="1"/>
  <c r="W167" i="2"/>
  <c r="X165" i="2"/>
  <c r="X168" i="2" l="1"/>
  <c r="X169" i="2" s="1"/>
  <c r="X170" i="2" s="1"/>
  <c r="X167" i="2"/>
  <c r="Y165" i="2"/>
  <c r="Y164" i="2"/>
  <c r="Z165" i="2" l="1"/>
  <c r="Y167" i="2"/>
  <c r="Y168" i="2"/>
  <c r="Y169" i="2" s="1"/>
  <c r="Y170" i="2" s="1"/>
  <c r="Z164" i="2"/>
  <c r="AA164" i="2" l="1"/>
  <c r="Z168" i="2"/>
  <c r="Z169" i="2" s="1"/>
  <c r="Z170" i="2" s="1"/>
  <c r="Z167" i="2"/>
  <c r="AA165" i="2"/>
  <c r="AB165" i="2" l="1"/>
  <c r="AA168" i="2"/>
  <c r="AA169" i="2" s="1"/>
  <c r="AA170" i="2" s="1"/>
  <c r="AA167" i="2"/>
  <c r="AB164" i="2"/>
  <c r="AC164" i="2" l="1"/>
  <c r="AB168" i="2"/>
  <c r="AB169" i="2" s="1"/>
  <c r="AB170" i="2" s="1"/>
  <c r="AC165" i="2"/>
  <c r="AB167" i="2"/>
  <c r="AC168" i="2" l="1"/>
  <c r="AC169" i="2" s="1"/>
  <c r="AC170" i="2" s="1"/>
  <c r="AC167" i="2"/>
</calcChain>
</file>

<file path=xl/comments1.xml><?xml version="1.0" encoding="utf-8"?>
<comments xmlns="http://schemas.openxmlformats.org/spreadsheetml/2006/main">
  <authors>
    <author>Jay M. Butterman, D.O.</author>
  </authors>
  <commentList>
    <comment ref="A23" authorId="0" shapeId="0">
      <text>
        <r>
          <rPr>
            <b/>
            <sz val="10"/>
            <color indexed="9"/>
            <rFont val="Tahoma"/>
            <family val="2"/>
          </rPr>
          <t>Try to get close to this point to minimize dip interference in choosing a crossover point</t>
        </r>
        <r>
          <rPr>
            <b/>
            <sz val="8"/>
            <color indexed="9"/>
            <rFont val="Tahoma"/>
            <family val="2"/>
          </rPr>
          <t xml:space="preserve">
</t>
        </r>
      </text>
    </comment>
  </commentList>
</comments>
</file>

<file path=xl/comments2.xml><?xml version="1.0" encoding="utf-8"?>
<comments xmlns="http://schemas.openxmlformats.org/spreadsheetml/2006/main">
  <authors>
    <author>Jay M. Butterman, D.O.</author>
  </authors>
  <commentList>
    <comment ref="A23" authorId="0" shapeId="0">
      <text>
        <r>
          <rPr>
            <b/>
            <sz val="10"/>
            <color indexed="9"/>
            <rFont val="Tahoma"/>
            <family val="2"/>
          </rPr>
          <t>Try to get close to this point to minimize dip interference in choosing a crossover point</t>
        </r>
        <r>
          <rPr>
            <b/>
            <sz val="8"/>
            <color indexed="9"/>
            <rFont val="Tahoma"/>
            <family val="2"/>
          </rPr>
          <t xml:space="preserve">
</t>
        </r>
      </text>
    </comment>
  </commentList>
</comments>
</file>

<file path=xl/comments3.xml><?xml version="1.0" encoding="utf-8"?>
<comments xmlns="http://schemas.openxmlformats.org/spreadsheetml/2006/main">
  <authors>
    <author>Claudio</author>
  </authors>
  <commentList>
    <comment ref="B8" authorId="0" shapeId="0">
      <text>
        <r>
          <rPr>
            <b/>
            <sz val="10"/>
            <color indexed="81"/>
            <rFont val="Tahoma"/>
            <family val="2"/>
          </rPr>
          <t>Efective Driver radius in cm.</t>
        </r>
      </text>
    </comment>
    <comment ref="E8" authorId="0" shapeId="0">
      <text>
        <r>
          <rPr>
            <b/>
            <sz val="10"/>
            <color indexed="81"/>
            <rFont val="Tahoma"/>
            <family val="2"/>
          </rPr>
          <t>Efective Driver radius in inches.</t>
        </r>
      </text>
    </comment>
    <comment ref="B9" authorId="0" shapeId="0">
      <text>
        <r>
          <rPr>
            <b/>
            <sz val="10"/>
            <color indexed="81"/>
            <rFont val="Tahoma"/>
            <family val="2"/>
          </rPr>
          <t>This is the maximum driver-microphone distance allowed in cm.</t>
        </r>
      </text>
    </comment>
    <comment ref="E9" authorId="0" shapeId="0">
      <text>
        <r>
          <rPr>
            <b/>
            <sz val="10"/>
            <color indexed="81"/>
            <rFont val="Tahoma"/>
            <family val="2"/>
          </rPr>
          <t>The Maximum Microphone distance allowed in inches.</t>
        </r>
      </text>
    </comment>
    <comment ref="B10" authorId="0" shapeId="0">
      <text>
        <r>
          <rPr>
            <b/>
            <sz val="10"/>
            <color indexed="81"/>
            <rFont val="Tahoma"/>
            <family val="2"/>
          </rPr>
          <t>This is the maximum useful frequency</t>
        </r>
      </text>
    </comment>
    <comment ref="E10" authorId="0" shapeId="0">
      <text>
        <r>
          <rPr>
            <b/>
            <sz val="10"/>
            <color indexed="81"/>
            <rFont val="Tahoma"/>
            <family val="2"/>
          </rPr>
          <t>This is the maximum useful frequency.</t>
        </r>
      </text>
    </comment>
    <comment ref="B14" authorId="0" shapeId="0">
      <text>
        <r>
          <rPr>
            <b/>
            <sz val="10"/>
            <color indexed="81"/>
            <rFont val="Tahoma"/>
            <family val="2"/>
          </rPr>
          <t>Write a dimension for which you want to calculate a resonance</t>
        </r>
      </text>
    </comment>
    <comment ref="C14" authorId="0" shapeId="0">
      <text>
        <r>
          <rPr>
            <b/>
            <sz val="10"/>
            <color indexed="81"/>
            <rFont val="Tahoma"/>
            <family val="2"/>
          </rPr>
          <t>Resonance frequency for the written dimension</t>
        </r>
      </text>
    </comment>
    <comment ref="B15" authorId="0" shapeId="0">
      <text>
        <r>
          <rPr>
            <b/>
            <sz val="10"/>
            <color indexed="81"/>
            <rFont val="Tahoma"/>
            <family val="2"/>
          </rPr>
          <t>Write a frequency for which you want to calculate a resonance</t>
        </r>
      </text>
    </comment>
    <comment ref="C15" authorId="0" shapeId="0">
      <text>
        <r>
          <rPr>
            <b/>
            <sz val="10"/>
            <color indexed="81"/>
            <rFont val="Tahoma"/>
            <family val="2"/>
          </rPr>
          <t>Dimension in cm. at which the resonance occurs for the written frequency</t>
        </r>
      </text>
    </comment>
    <comment ref="B17" authorId="0" shapeId="0">
      <text>
        <r>
          <rPr>
            <b/>
            <sz val="10"/>
            <color indexed="81"/>
            <rFont val="Tahoma"/>
            <family val="2"/>
          </rPr>
          <t>Write a dimension for which you want to calculate a resonance</t>
        </r>
      </text>
    </comment>
    <comment ref="C17" authorId="0" shapeId="0">
      <text>
        <r>
          <rPr>
            <b/>
            <sz val="10"/>
            <color indexed="81"/>
            <rFont val="Tahoma"/>
            <family val="2"/>
          </rPr>
          <t>Resonance frequency for the written dimension</t>
        </r>
      </text>
    </comment>
    <comment ref="B18" authorId="0" shapeId="0">
      <text>
        <r>
          <rPr>
            <b/>
            <sz val="10"/>
            <color indexed="81"/>
            <rFont val="Tahoma"/>
            <family val="2"/>
          </rPr>
          <t>Write a frequency for which you want to calculate a resonance</t>
        </r>
      </text>
    </comment>
    <comment ref="C18" authorId="0" shapeId="0">
      <text>
        <r>
          <rPr>
            <b/>
            <sz val="10"/>
            <color indexed="81"/>
            <rFont val="Tahoma"/>
            <family val="2"/>
          </rPr>
          <t>Dimension in inches at which the resonance occurs for the written frequency</t>
        </r>
      </text>
    </comment>
  </commentList>
</comments>
</file>

<file path=xl/comments4.xml><?xml version="1.0" encoding="utf-8"?>
<comments xmlns="http://schemas.openxmlformats.org/spreadsheetml/2006/main">
  <authors>
    <author>Kurt Andersson</author>
  </authors>
  <commentList>
    <comment ref="G32" authorId="0" shapeId="0">
      <text>
        <r>
          <rPr>
            <sz val="8"/>
            <color indexed="81"/>
            <rFont val="Tahoma"/>
            <family val="2"/>
          </rPr>
          <t xml:space="preserve">PVC -flooring
</t>
        </r>
      </text>
    </comment>
    <comment ref="G33" authorId="0" shapeId="0">
      <text>
        <r>
          <rPr>
            <sz val="8"/>
            <color indexed="81"/>
            <rFont val="Tahoma"/>
            <family val="2"/>
          </rPr>
          <t xml:space="preserve">PVC -flooring for acoustic appliances, reducing impact noise (foot steps etc)
</t>
        </r>
      </text>
    </comment>
    <comment ref="G34" authorId="0" shapeId="0">
      <text>
        <r>
          <rPr>
            <sz val="8"/>
            <color indexed="81"/>
            <rFont val="Tahoma"/>
            <family val="2"/>
          </rPr>
          <t xml:space="preserve">PVC -flooring for acoustic appliances, reducing impact noise (foot steps etc)
</t>
        </r>
      </text>
    </comment>
  </commentList>
</comments>
</file>

<file path=xl/comments5.xml><?xml version="1.0" encoding="utf-8"?>
<comments xmlns="http://schemas.openxmlformats.org/spreadsheetml/2006/main">
  <authors>
    <author>Kurt Andersson</author>
  </authors>
  <commentList>
    <comment ref="A105" authorId="0" shapeId="0">
      <text>
        <r>
          <rPr>
            <sz val="8"/>
            <color indexed="81"/>
            <rFont val="Tahoma"/>
            <family val="2"/>
          </rPr>
          <t xml:space="preserve">PVC -flooring for acoustic appliances, reducing impact noise (foot steps etc)
</t>
        </r>
      </text>
    </comment>
    <comment ref="A106" authorId="0" shapeId="0">
      <text>
        <r>
          <rPr>
            <sz val="8"/>
            <color indexed="81"/>
            <rFont val="Tahoma"/>
            <family val="2"/>
          </rPr>
          <t xml:space="preserve">PVC -flooring for acoustic appliances, reducing impact noise (foot steps etc)
</t>
        </r>
      </text>
    </comment>
    <comment ref="A191" authorId="0" shapeId="0">
      <text>
        <r>
          <rPr>
            <sz val="8"/>
            <color indexed="81"/>
            <rFont val="Tahoma"/>
            <family val="2"/>
          </rPr>
          <t xml:space="preserve">PVC -flooring
</t>
        </r>
      </text>
    </comment>
  </commentList>
</comments>
</file>

<file path=xl/sharedStrings.xml><?xml version="1.0" encoding="utf-8"?>
<sst xmlns="http://schemas.openxmlformats.org/spreadsheetml/2006/main" count="2457" uniqueCount="1620">
  <si>
    <t>Distance</t>
  </si>
  <si>
    <t>Mass - Air - Mass RESONANCE Calculator</t>
  </si>
  <si>
    <t>Mass of interior drywall</t>
  </si>
  <si>
    <t>Frequency *mam* without insulation</t>
  </si>
  <si>
    <t>Frequency *mam* with insulation</t>
  </si>
  <si>
    <t>Length of Sound Wave/Ray</t>
  </si>
  <si>
    <t>Frequency center</t>
  </si>
  <si>
    <t>Depth of well for trap</t>
  </si>
  <si>
    <t>length</t>
  </si>
  <si>
    <t>height</t>
  </si>
  <si>
    <t>a, b or c</t>
  </si>
  <si>
    <t>b to B</t>
  </si>
  <si>
    <t>The Four Acoustical Regions</t>
  </si>
  <si>
    <t>Wave/
Transition</t>
  </si>
  <si>
    <t>Transition/
Ray</t>
  </si>
  <si>
    <t>F¹</t>
  </si>
  <si>
    <t>F²</t>
  </si>
  <si>
    <t>F³</t>
  </si>
  <si>
    <t>ROOM DIMENSIONS</t>
  </si>
  <si>
    <t>Length</t>
  </si>
  <si>
    <t>Width</t>
  </si>
  <si>
    <t>Height</t>
  </si>
  <si>
    <t>Volume</t>
  </si>
  <si>
    <t xml:space="preserve">First Reflection Points </t>
  </si>
  <si>
    <t>METRIC</t>
  </si>
  <si>
    <t>LENGTH</t>
  </si>
  <si>
    <t>Surface Density Calculator</t>
  </si>
  <si>
    <t>Material thickness</t>
  </si>
  <si>
    <t>Surface Density</t>
  </si>
  <si>
    <t>material density</t>
  </si>
  <si>
    <t>kg/m³</t>
  </si>
  <si>
    <t xml:space="preserve">Enter information in the yellow cells - the spreadsheet automatically calculates for you. - Enjoy! </t>
  </si>
  <si>
    <t>First Reflection Calculator and MORE…</t>
  </si>
  <si>
    <t>For more information please visit:</t>
  </si>
  <si>
    <t>http://jhbrandt.net</t>
  </si>
  <si>
    <t>Equilateral Triangle Calculator</t>
  </si>
  <si>
    <t>Pressure Zone up to:</t>
  </si>
  <si>
    <t>lbs/ft³</t>
  </si>
  <si>
    <t>Area</t>
  </si>
  <si>
    <t>Thickness</t>
  </si>
  <si>
    <t>Total Weight</t>
  </si>
  <si>
    <t>Mass Law for Diffuse Field - up to 78deg. Grazing incidence</t>
  </si>
  <si>
    <t>Frequency in Hertz</t>
  </si>
  <si>
    <t>Calculated Transmission Loss (TL)</t>
  </si>
  <si>
    <t>K-TL</t>
  </si>
  <si>
    <t>Density</t>
  </si>
  <si>
    <t>Total Mass/Weight of Ceiling or Wall</t>
  </si>
  <si>
    <t>Ideal distance based on best modal response @ 3/8 of room length</t>
  </si>
  <si>
    <t>Direct Reflections</t>
  </si>
  <si>
    <t>Distance from front or back wall</t>
  </si>
  <si>
    <t xml:space="preserve"> Note: 2 layers of 15.9mm (5/8") type 'X' gypsum board is 23.4kg/m²</t>
  </si>
  <si>
    <t xml:space="preserve"> Note: 1 layers of 15.9mm (5/8") type 'X' gypsum board is 11.7kg/m²</t>
  </si>
  <si>
    <t xml:space="preserve"> Note: 2 layers of 12.5mm (1/2") standard gypsum board is 16kg/m²</t>
  </si>
  <si>
    <t xml:space="preserve"> Note: 1 layer of 12.5mm (1/2") standard gypsum board is 8kg/m²</t>
  </si>
  <si>
    <t>Material</t>
  </si>
  <si>
    <t>MDF</t>
  </si>
  <si>
    <t>Chip board, hard</t>
  </si>
  <si>
    <t>Empty = no porous absorber behind membrane</t>
  </si>
  <si>
    <t>Chip board, soft</t>
  </si>
  <si>
    <t xml:space="preserve">Fe = </t>
  </si>
  <si>
    <t xml:space="preserve">Plywood, pine, </t>
  </si>
  <si>
    <t xml:space="preserve">M = </t>
  </si>
  <si>
    <t>Membrane mass in kg / m²</t>
  </si>
  <si>
    <t>Plywood, birch A-quality</t>
  </si>
  <si>
    <t>Plywood, birch B-quality</t>
  </si>
  <si>
    <t>Oil treated masonite</t>
  </si>
  <si>
    <t>Hard board</t>
  </si>
  <si>
    <t xml:space="preserve">Fa = </t>
  </si>
  <si>
    <t>Gypsum board</t>
  </si>
  <si>
    <t>Soft iron</t>
  </si>
  <si>
    <t>SBR rubber</t>
  </si>
  <si>
    <t>Nitrile rubber</t>
  </si>
  <si>
    <t xml:space="preserve">Fe = empty </t>
  </si>
  <si>
    <t>"Special rubber", high density</t>
  </si>
  <si>
    <t>M</t>
  </si>
  <si>
    <t>EPDM (EPR) rubber</t>
  </si>
  <si>
    <t>Cork rubber</t>
  </si>
  <si>
    <t xml:space="preserve">Plywood A, </t>
  </si>
  <si>
    <t>Plywood B</t>
  </si>
  <si>
    <t>Fa = with porous absorber inside</t>
  </si>
  <si>
    <t>Soft PVC</t>
  </si>
  <si>
    <t>Novilon®</t>
  </si>
  <si>
    <t>Forbo Sarlon Traffic Boreal®</t>
  </si>
  <si>
    <t>Forbo Scandilon® 0,3+2,3 mm</t>
  </si>
  <si>
    <t>Mass Loaded Vinyl (barium filled)</t>
  </si>
  <si>
    <t>Green Flooring mat (indonesia)</t>
  </si>
  <si>
    <t>density</t>
  </si>
  <si>
    <r>
      <rPr>
        <b/>
        <sz val="10"/>
        <rFont val="Arial"/>
        <family val="2"/>
      </rPr>
      <t>Total air space</t>
    </r>
    <r>
      <rPr>
        <sz val="10"/>
        <rFont val="Arial"/>
        <family val="2"/>
      </rPr>
      <t xml:space="preserve"> </t>
    </r>
  </si>
  <si>
    <t>Air gap in millimeters behind inside of membrane to frame backing / wall</t>
  </si>
  <si>
    <r>
      <t>Notes:</t>
    </r>
    <r>
      <rPr>
        <sz val="10"/>
        <rFont val="Arial"/>
        <family val="2"/>
      </rPr>
      <t xml:space="preserve"> </t>
    </r>
  </si>
  <si>
    <t>LIMP BAG construction notes:</t>
  </si>
  <si>
    <t>Standard Bass Trap Depths - (Absorbent cavity traps) 1/4 wavelength</t>
  </si>
  <si>
    <t>(measured from back of gypsum to block wall)</t>
  </si>
  <si>
    <t>D</t>
  </si>
  <si>
    <t>Absorbtion frequency = 60 / (root (M xD )</t>
  </si>
  <si>
    <t xml:space="preserve">D = </t>
  </si>
  <si>
    <t>Absorbtion frequency = 50 / (root (M x D) and can be as low as 43 / (root (M x D )</t>
  </si>
  <si>
    <t>SCROLL DOWN FOR MORE!!</t>
  </si>
  <si>
    <t>mam resonance without damping</t>
  </si>
  <si>
    <t>mam resonance with damping</t>
  </si>
  <si>
    <r>
      <rPr>
        <i/>
        <sz val="10"/>
        <rFont val="Arial"/>
        <family val="2"/>
      </rPr>
      <t>m =</t>
    </r>
    <r>
      <rPr>
        <sz val="10"/>
        <rFont val="Arial"/>
        <family val="2"/>
      </rPr>
      <t xml:space="preserve"> the mass per unit area of the drywall, kg/m2</t>
    </r>
  </si>
  <si>
    <t>d = the distance from the drywall to the block</t>
  </si>
  <si>
    <t>(unitless)</t>
  </si>
  <si>
    <t>Acrylic Glass</t>
  </si>
  <si>
    <t>Asbestos - shredded</t>
  </si>
  <si>
    <t>Asbestos rock</t>
  </si>
  <si>
    <t>Ashes - dry</t>
  </si>
  <si>
    <t>Ashes - wet</t>
  </si>
  <si>
    <t>Asphalt, crushed</t>
  </si>
  <si>
    <t>Barite, crushed</t>
  </si>
  <si>
    <t>Basalt, broken</t>
  </si>
  <si>
    <t>Basalt, solid</t>
  </si>
  <si>
    <t>Bauxite, crushed</t>
  </si>
  <si>
    <t>Bentonite</t>
  </si>
  <si>
    <t>Bismuth</t>
  </si>
  <si>
    <t>Bones, pulverized</t>
  </si>
  <si>
    <t>Borax, fine</t>
  </si>
  <si>
    <t>Brick, chrome</t>
  </si>
  <si>
    <t>Brick, common red</t>
  </si>
  <si>
    <t>Brick, fire clay</t>
  </si>
  <si>
    <t>Brick, magnesia</t>
  </si>
  <si>
    <t>Brick, silica</t>
  </si>
  <si>
    <t>Cadmium</t>
  </si>
  <si>
    <t>Calcium carbide</t>
  </si>
  <si>
    <t>Caliche</t>
  </si>
  <si>
    <t>Carbon, powdered</t>
  </si>
  <si>
    <t>Carbon, solid</t>
  </si>
  <si>
    <t>Cardboard</t>
  </si>
  <si>
    <t>Cement - clinker</t>
  </si>
  <si>
    <t>Cement, mortar</t>
  </si>
  <si>
    <t>Cement, Portland</t>
  </si>
  <si>
    <t>Cement, slurry</t>
  </si>
  <si>
    <t>Chalk, fine</t>
  </si>
  <si>
    <t>Chalk, lumpy</t>
  </si>
  <si>
    <t>Chalk, solid</t>
  </si>
  <si>
    <t>Charcoal</t>
  </si>
  <si>
    <t>Chromium</t>
  </si>
  <si>
    <t>Chromium ore</t>
  </si>
  <si>
    <t>Cinders, Coal, ash</t>
  </si>
  <si>
    <t>Cinders, furnace</t>
  </si>
  <si>
    <t>Clay, compacted</t>
  </si>
  <si>
    <t>Clay, dry excavated</t>
  </si>
  <si>
    <t>Clay, dry lump</t>
  </si>
  <si>
    <t>Clay, fire</t>
  </si>
  <si>
    <t>Clay, wet excavated</t>
  </si>
  <si>
    <t>Clay, wet lump</t>
  </si>
  <si>
    <t>Coal, Anthracite, broken</t>
  </si>
  <si>
    <t>Coal, Anthracite, solid</t>
  </si>
  <si>
    <t>Coal, Bituminous, broken</t>
  </si>
  <si>
    <t>Coal, Bituminous, solid</t>
  </si>
  <si>
    <t>Cobaltite ( cobolt ore )</t>
  </si>
  <si>
    <t>Coke</t>
  </si>
  <si>
    <t>Concrete, Asphalt</t>
  </si>
  <si>
    <t>Concrete, Gravel</t>
  </si>
  <si>
    <t>Concrete, Limestone with Portland</t>
  </si>
  <si>
    <t>Copper ore</t>
  </si>
  <si>
    <t>Copper sulfate, ground</t>
  </si>
  <si>
    <t>Cork, ground</t>
  </si>
  <si>
    <t>Cork, solid</t>
  </si>
  <si>
    <t>Corn, grits</t>
  </si>
  <si>
    <t>Corn, on the cob</t>
  </si>
  <si>
    <t>Corn, shelled</t>
  </si>
  <si>
    <t>Cryolite</t>
  </si>
  <si>
    <t>Cullet</t>
  </si>
  <si>
    <t>Culm</t>
  </si>
  <si>
    <t>Dolomite, lumpy</t>
  </si>
  <si>
    <t>Dolomite, pulverized</t>
  </si>
  <si>
    <t>Dolomite, solid</t>
  </si>
  <si>
    <t>Earth, dense</t>
  </si>
  <si>
    <t>Earth, Fullers, raw</t>
  </si>
  <si>
    <t>Earth, loam, dry, excavated</t>
  </si>
  <si>
    <t>Earth, moist, excavated</t>
  </si>
  <si>
    <t>Earth, packed</t>
  </si>
  <si>
    <t>Earth, soft loose mud</t>
  </si>
  <si>
    <t>Earth, wet, excavated</t>
  </si>
  <si>
    <t>Emery</t>
  </si>
  <si>
    <t>Ether</t>
  </si>
  <si>
    <t>Feldspar, pulverized</t>
  </si>
  <si>
    <t>Feldspar, solid</t>
  </si>
  <si>
    <t>Flint - silica</t>
  </si>
  <si>
    <t>Flue dust</t>
  </si>
  <si>
    <t>Fluorspar, lumps</t>
  </si>
  <si>
    <t>Fluorspar, pulverized</t>
  </si>
  <si>
    <t>Fluorspar, solid</t>
  </si>
  <si>
    <t>Fullers Earth - raw or burnt</t>
  </si>
  <si>
    <t>Galena ( lead ore )</t>
  </si>
  <si>
    <t>Glass - broken or cullet</t>
  </si>
  <si>
    <t>Glass, window</t>
  </si>
  <si>
    <t>Granite, broken</t>
  </si>
  <si>
    <t>Granite, solid</t>
  </si>
  <si>
    <t>Graphite, flake</t>
  </si>
  <si>
    <t>Gravel, dry 1/4 to 2 inch</t>
  </si>
  <si>
    <t>Gravel, loose, dry</t>
  </si>
  <si>
    <t>Gravel, wet 1/4 to 2 inch</t>
  </si>
  <si>
    <t>Gravel, with sand, natural</t>
  </si>
  <si>
    <t>Gummite ( uranium ore )</t>
  </si>
  <si>
    <t>Gypsum, broken</t>
  </si>
  <si>
    <t>Gypsum, crushed</t>
  </si>
  <si>
    <t>Gypsum, pulverized</t>
  </si>
  <si>
    <t>Gypsum, solid</t>
  </si>
  <si>
    <t>Halite (salt), broken</t>
  </si>
  <si>
    <t>Halite (salt), solid</t>
  </si>
  <si>
    <t>Hematite ( iron ore )</t>
  </si>
  <si>
    <t xml:space="preserve">Hemimorphite ( zinc ore ) </t>
  </si>
  <si>
    <t>Ice, crushed</t>
  </si>
  <si>
    <t>Ice, solid</t>
  </si>
  <si>
    <t>Ilmenite</t>
  </si>
  <si>
    <t>Iridium</t>
  </si>
  <si>
    <t>Iron ore - crushed - see metals table</t>
  </si>
  <si>
    <t>Iron oxide pigment</t>
  </si>
  <si>
    <t>Iron Pyrites</t>
  </si>
  <si>
    <t>Ivory</t>
  </si>
  <si>
    <t>Kaolin, green crushed</t>
  </si>
  <si>
    <t>Kaolin, pulverized</t>
  </si>
  <si>
    <t>Lead, red</t>
  </si>
  <si>
    <t>Lead, white pigment</t>
  </si>
  <si>
    <t>Leather</t>
  </si>
  <si>
    <t>Lignite, dry</t>
  </si>
  <si>
    <t>Lime, hydrated</t>
  </si>
  <si>
    <t>Lime, quick, fine</t>
  </si>
  <si>
    <t>Lime, quick, lump</t>
  </si>
  <si>
    <t>Lime, stone, large</t>
  </si>
  <si>
    <t>Lime, stone, lump</t>
  </si>
  <si>
    <t>Lime, wet or mortar</t>
  </si>
  <si>
    <t>Limestone, broken</t>
  </si>
  <si>
    <t>Limestone, pulverized</t>
  </si>
  <si>
    <t>Limestone, solid</t>
  </si>
  <si>
    <t>Limonite, broken</t>
  </si>
  <si>
    <t>Limonite, solid</t>
  </si>
  <si>
    <t>Linseed, meal</t>
  </si>
  <si>
    <t>Linseed, whole</t>
  </si>
  <si>
    <t>Locust, dry</t>
  </si>
  <si>
    <t>Magnesite, solid</t>
  </si>
  <si>
    <t>Magnesium oxide</t>
  </si>
  <si>
    <t>Magnesium sulphate, crystal</t>
  </si>
  <si>
    <t>Magnetite, broken</t>
  </si>
  <si>
    <t>Magnetite, solid ( iron ore )</t>
  </si>
  <si>
    <t>Malachite ( copper ore )</t>
  </si>
  <si>
    <t>Malt</t>
  </si>
  <si>
    <t>Manganese oxide</t>
  </si>
  <si>
    <t>Manganese, solid</t>
  </si>
  <si>
    <t>Manure</t>
  </si>
  <si>
    <t>Marble, broken</t>
  </si>
  <si>
    <t>Marble, solid</t>
  </si>
  <si>
    <t>Marl, wet, excavated</t>
  </si>
  <si>
    <t>Mica - flake</t>
  </si>
  <si>
    <t>Mica - powder</t>
  </si>
  <si>
    <t>Mica, broken</t>
  </si>
  <si>
    <t>Mica, solid</t>
  </si>
  <si>
    <t>Milk, powdered</t>
  </si>
  <si>
    <t>Molybdenum ore</t>
  </si>
  <si>
    <t>Mortar, wet</t>
  </si>
  <si>
    <t>Mud, fluid</t>
  </si>
  <si>
    <t>Mud, packed</t>
  </si>
  <si>
    <t>Nickel ore</t>
  </si>
  <si>
    <t>Nickel silver</t>
  </si>
  <si>
    <t>Nickel, rolled</t>
  </si>
  <si>
    <t>Nitric acid, 91%</t>
  </si>
  <si>
    <t>Nitrogen</t>
  </si>
  <si>
    <t>Oak, red</t>
  </si>
  <si>
    <t>Oats</t>
  </si>
  <si>
    <t>Oats, rolled</t>
  </si>
  <si>
    <t>Oil cake</t>
  </si>
  <si>
    <t>Oil, linseed</t>
  </si>
  <si>
    <t>Oil, petroleum</t>
  </si>
  <si>
    <t>Oxygen</t>
  </si>
  <si>
    <t>Oyster shells, ground</t>
  </si>
  <si>
    <t>Paper, standard</t>
  </si>
  <si>
    <t>Peanuts, not shelled</t>
  </si>
  <si>
    <t>Peanuts, shelled</t>
  </si>
  <si>
    <t>Peat, dry</t>
  </si>
  <si>
    <t>Peat, moist</t>
  </si>
  <si>
    <t>Peat, wet</t>
  </si>
  <si>
    <t>Pecan wood</t>
  </si>
  <si>
    <t>Phosphate rock, broken</t>
  </si>
  <si>
    <t>Phosphorus</t>
  </si>
  <si>
    <t>Pitch</t>
  </si>
  <si>
    <t>Plaster</t>
  </si>
  <si>
    <t>Platinum ore</t>
  </si>
  <si>
    <t>Plywood - sanded structural &amp; marine</t>
  </si>
  <si>
    <t>Porcelain</t>
  </si>
  <si>
    <t>Porphyry, broken</t>
  </si>
  <si>
    <t>Porphyry, solid</t>
  </si>
  <si>
    <t>Potash</t>
  </si>
  <si>
    <t>Potassium chloride</t>
  </si>
  <si>
    <t>Potatoes, white</t>
  </si>
  <si>
    <t>Pumice, stone</t>
  </si>
  <si>
    <t>Pyrite (fool's gold)</t>
  </si>
  <si>
    <t>Quartz sand</t>
  </si>
  <si>
    <t>Quartz, lump</t>
  </si>
  <si>
    <t>Quartz, solid</t>
  </si>
  <si>
    <t>Resin, synthetic, crushed</t>
  </si>
  <si>
    <t>Rice grits</t>
  </si>
  <si>
    <t>Rice, hulled</t>
  </si>
  <si>
    <t>Rice, rough</t>
  </si>
  <si>
    <t>Rip-Rap</t>
  </si>
  <si>
    <t>Rock - soft - excavated with shovel</t>
  </si>
  <si>
    <t>Rosin</t>
  </si>
  <si>
    <t>Rubber, caoutchouc</t>
  </si>
  <si>
    <t>Rubber, ground scrap</t>
  </si>
  <si>
    <t>Rubber, manufactured</t>
  </si>
  <si>
    <t>Rye</t>
  </si>
  <si>
    <t>Salt cake</t>
  </si>
  <si>
    <t>Salt, course</t>
  </si>
  <si>
    <t>Salt, fine</t>
  </si>
  <si>
    <t>Saltpeter</t>
  </si>
  <si>
    <t>Sand with Gravel, dry</t>
  </si>
  <si>
    <t>Sand with Gravel, wet</t>
  </si>
  <si>
    <t>Sand, dry</t>
  </si>
  <si>
    <t>Sand, loose</t>
  </si>
  <si>
    <t>Sand, rammed</t>
  </si>
  <si>
    <t>Sand, water filled</t>
  </si>
  <si>
    <t>Sand, wet</t>
  </si>
  <si>
    <t>Sand, wet, packed</t>
  </si>
  <si>
    <t>Sandstone, broken</t>
  </si>
  <si>
    <t>Sandstone, solid</t>
  </si>
  <si>
    <t>Sawdust</t>
  </si>
  <si>
    <t>Sewage, sludge</t>
  </si>
  <si>
    <t>Shale, broken</t>
  </si>
  <si>
    <t>Shale, solid</t>
  </si>
  <si>
    <t>Shells - oyster</t>
  </si>
  <si>
    <t>Sinter</t>
  </si>
  <si>
    <t>Slag, broken</t>
  </si>
  <si>
    <t>Slag, crushed, 1/4 inch</t>
  </si>
  <si>
    <t>Slag, furn. granulated</t>
  </si>
  <si>
    <t>Slag, solid</t>
  </si>
  <si>
    <t>Slate, broken</t>
  </si>
  <si>
    <t>Slate, pulverized</t>
  </si>
  <si>
    <t>Slate, solid</t>
  </si>
  <si>
    <t>Smithsonite ( zinc ore )</t>
  </si>
  <si>
    <t>Snow, compacted</t>
  </si>
  <si>
    <t>Snow, freshly fallen</t>
  </si>
  <si>
    <t>Soap, chips</t>
  </si>
  <si>
    <t>Soap, flakes</t>
  </si>
  <si>
    <t>Soap, powdered</t>
  </si>
  <si>
    <t>Soap, solid</t>
  </si>
  <si>
    <t>Soapstone talc</t>
  </si>
  <si>
    <t>Soda Ash, heavy</t>
  </si>
  <si>
    <t>Soda Ash, light</t>
  </si>
  <si>
    <t>Sodium</t>
  </si>
  <si>
    <t>Sodium Aluminate, ground</t>
  </si>
  <si>
    <t>Sodium Nitrate, ground</t>
  </si>
  <si>
    <t>Soy beans, whole</t>
  </si>
  <si>
    <t>Starch, powdered</t>
  </si>
  <si>
    <t>Stone (common, generic)</t>
  </si>
  <si>
    <t>Stone, crushed</t>
  </si>
  <si>
    <t>Sugar, brown</t>
  </si>
  <si>
    <t>Sugar, granulated</t>
  </si>
  <si>
    <t>Sugar, powdered</t>
  </si>
  <si>
    <t>Sugar, raw cane</t>
  </si>
  <si>
    <t>Sugarbeet pulp, dry</t>
  </si>
  <si>
    <t>Sugarbeet pulp, wet</t>
  </si>
  <si>
    <t>Sugarcane</t>
  </si>
  <si>
    <t>Sulphur, lump</t>
  </si>
  <si>
    <t>Sulphur, pulverized</t>
  </si>
  <si>
    <t>Sulphur, solid</t>
  </si>
  <si>
    <t>Taconite</t>
  </si>
  <si>
    <t>Talc, broken</t>
  </si>
  <si>
    <t>Talc, solid</t>
  </si>
  <si>
    <t>Tanbark, ground</t>
  </si>
  <si>
    <t>Tankage</t>
  </si>
  <si>
    <t>Tar</t>
  </si>
  <si>
    <t>Tobacco</t>
  </si>
  <si>
    <t>Trap rock, broken</t>
  </si>
  <si>
    <t>Trap rock, solid</t>
  </si>
  <si>
    <t>Turf</t>
  </si>
  <si>
    <t>Turpentine</t>
  </si>
  <si>
    <t>Walnut, black, dry</t>
  </si>
  <si>
    <t>Water, pure</t>
  </si>
  <si>
    <t>Wheat</t>
  </si>
  <si>
    <t>Wheat, cracked</t>
  </si>
  <si>
    <t>Wool</t>
  </si>
  <si>
    <t>Zinc oxide</t>
  </si>
  <si>
    <t>Cement (foundation)</t>
  </si>
  <si>
    <t>Indonesian Cinder block</t>
  </si>
  <si>
    <t>Indonesian Brick</t>
  </si>
  <si>
    <t>width</t>
  </si>
  <si>
    <t>weight</t>
  </si>
  <si>
    <t>Loose Sand</t>
  </si>
  <si>
    <t>Oriented Strand Board</t>
  </si>
  <si>
    <t>OSB</t>
  </si>
  <si>
    <t>Newton / Kilogram conversion</t>
  </si>
  <si>
    <t>Enter Newton measurement here</t>
  </si>
  <si>
    <t>Wall thickness</t>
  </si>
  <si>
    <t>Wall weight per lineal meter</t>
  </si>
  <si>
    <t>Glass</t>
  </si>
  <si>
    <t>Binary AGD (Amplitude Grating Diffusor)</t>
  </si>
  <si>
    <t>Max Slat Width</t>
  </si>
  <si>
    <t>max freq.</t>
  </si>
  <si>
    <t xml:space="preserve">Highest working diffusor frequency (prefered) = </t>
  </si>
  <si>
    <t xml:space="preserve">AGD slat width = </t>
  </si>
  <si>
    <t>Yoğunluk</t>
  </si>
  <si>
    <t>Diffusor Distance Calculator</t>
  </si>
  <si>
    <t>Glass Density vs. thickness</t>
  </si>
  <si>
    <t>Rubber, Special, high density</t>
  </si>
  <si>
    <t>Lead, rolled</t>
  </si>
  <si>
    <t>Wood chips - dry</t>
  </si>
  <si>
    <t xml:space="preserve">Water, sea </t>
  </si>
  <si>
    <t>Isolation Efficiency Equation</t>
  </si>
  <si>
    <t>PERCENTAGE OF VIBRATION REDUCED</t>
  </si>
  <si>
    <t>Ytong Block standard</t>
  </si>
  <si>
    <t>Weight per block to Density converter METRIC</t>
  </si>
  <si>
    <t>level of disturbing frequency</t>
  </si>
  <si>
    <t>calculated STL</t>
  </si>
  <si>
    <t>Mass Law curve reference</t>
  </si>
  <si>
    <t>disturbing frequency</t>
  </si>
  <si>
    <t>resonant frequency of the isolated system</t>
  </si>
  <si>
    <t>Ellipse Calculator</t>
  </si>
  <si>
    <t>j</t>
  </si>
  <si>
    <t>n</t>
  </si>
  <si>
    <t>F</t>
  </si>
  <si>
    <t>Spring System Resonance</t>
  </si>
  <si>
    <t>spring deflection in mm</t>
  </si>
  <si>
    <t>Lowest Usable Frequency</t>
  </si>
  <si>
    <t>System Resonance</t>
  </si>
  <si>
    <t>HardiBacker Board</t>
  </si>
  <si>
    <t>PR cement board</t>
  </si>
  <si>
    <t>SIPs</t>
  </si>
  <si>
    <t>density converter</t>
  </si>
  <si>
    <t>Rolled Lead</t>
  </si>
  <si>
    <t>Sheet Steel</t>
  </si>
  <si>
    <t>Mass for different thicknesses in mm</t>
  </si>
  <si>
    <t>Lowest usable frequency with damping, ie; fiberglass</t>
  </si>
  <si>
    <r>
      <rPr>
        <b/>
        <sz val="10"/>
        <rFont val="Arial"/>
        <family val="2"/>
      </rPr>
      <t>perceived level</t>
    </r>
    <r>
      <rPr>
        <sz val="10"/>
        <rFont val="Arial"/>
        <family val="2"/>
      </rPr>
      <t xml:space="preserve"> - a negative number indicates that the sound is below the threshold of hearing</t>
    </r>
  </si>
  <si>
    <t>rock wool</t>
  </si>
  <si>
    <t>Name</t>
  </si>
  <si>
    <t>Metric</t>
  </si>
  <si>
    <t>total travel distance of reflection</t>
  </si>
  <si>
    <t>travel time =</t>
  </si>
  <si>
    <t>Surface Density/Weight in lbs/ft²</t>
  </si>
  <si>
    <t>Surface Density/Weight in kg/m²</t>
  </si>
  <si>
    <t>User Defined</t>
  </si>
  <si>
    <t>User Defined - etc…</t>
  </si>
  <si>
    <t>Floor Deflection</t>
  </si>
  <si>
    <t>Floor Span</t>
  </si>
  <si>
    <t>minimum required Isolator deflection</t>
  </si>
  <si>
    <t>Imperial</t>
  </si>
  <si>
    <t>Weight per block to Density converter Imperial</t>
  </si>
  <si>
    <t>Operator Distance to side wall - Z EQUALS ---</t>
  </si>
  <si>
    <t>Operator Distance to speaker - Y EQUALS ---</t>
  </si>
  <si>
    <t>Speaker Distance to side wall - X or W EQUALS</t>
  </si>
  <si>
    <t>Block One</t>
  </si>
  <si>
    <t>Block Two</t>
  </si>
  <si>
    <t>Speed of Sound</t>
  </si>
  <si>
    <t>Temperature Centigrade</t>
  </si>
  <si>
    <t>Temperature Fahrinheit</t>
  </si>
  <si>
    <t>Acoustic Impedance</t>
  </si>
  <si>
    <t>bulk density of the medium (kg /m3)</t>
  </si>
  <si>
    <t>speed of sound (m / s)</t>
  </si>
  <si>
    <t>SIMPLE ACOUSTIC IMPEDANCE CALCULATOR</t>
  </si>
  <si>
    <t>Porous Absorber - Speed of Sound CALCULATOR</t>
  </si>
  <si>
    <t>Acoustic Impedance of material</t>
  </si>
  <si>
    <t>TYPE</t>
  </si>
  <si>
    <t>HORIZONTAL</t>
  </si>
  <si>
    <t>VERTICAL</t>
  </si>
  <si>
    <t>ATTENUATION</t>
  </si>
  <si>
    <t>Regufoam</t>
  </si>
  <si>
    <t>Color</t>
  </si>
  <si>
    <t>Beige</t>
  </si>
  <si>
    <t>Purple</t>
  </si>
  <si>
    <t>Turquoise</t>
  </si>
  <si>
    <t>Orange</t>
  </si>
  <si>
    <t>Brown</t>
  </si>
  <si>
    <t>Density kg/m²</t>
  </si>
  <si>
    <t>Load Bearing Range N/mm²</t>
  </si>
  <si>
    <t>Sylomer</t>
  </si>
  <si>
    <t>Cembrit CEMPANEL</t>
  </si>
  <si>
    <t>HardiFloor</t>
  </si>
  <si>
    <t>HDPE Geomembrane Polyethylene</t>
  </si>
  <si>
    <t>DIFFUSOR Attenuation Calculator</t>
  </si>
  <si>
    <t>WELLS (prime)</t>
  </si>
  <si>
    <t>2-D QRD/PRD</t>
  </si>
  <si>
    <t>Pressure</t>
  </si>
  <si>
    <t>=</t>
  </si>
  <si>
    <t xml:space="preserve">1 Pa </t>
  </si>
  <si>
    <r>
      <t>1 N/m</t>
    </r>
    <r>
      <rPr>
        <vertAlign val="superscript"/>
        <sz val="11"/>
        <color rgb="FF000000"/>
        <rFont val="Arial"/>
        <family val="2"/>
      </rPr>
      <t>2</t>
    </r>
    <r>
      <rPr>
        <sz val="11"/>
        <color rgb="FF000000"/>
        <rFont val="Arial"/>
        <family val="2"/>
      </rPr>
      <t> </t>
    </r>
  </si>
  <si>
    <r>
      <t>1 N/mm</t>
    </r>
    <r>
      <rPr>
        <vertAlign val="superscript"/>
        <sz val="11"/>
        <color rgb="FF000000"/>
        <rFont val="Arial"/>
        <family val="2"/>
      </rPr>
      <t>2</t>
    </r>
    <r>
      <rPr>
        <sz val="11"/>
        <color rgb="FF000000"/>
        <rFont val="Arial"/>
        <family val="2"/>
      </rPr>
      <t> </t>
    </r>
  </si>
  <si>
    <t xml:space="preserve">1 atm </t>
  </si>
  <si>
    <t xml:space="preserve">1 mmHg </t>
  </si>
  <si>
    <t>1 bar =</t>
  </si>
  <si>
    <r>
      <t>1 kp/m</t>
    </r>
    <r>
      <rPr>
        <vertAlign val="superscript"/>
        <sz val="11"/>
        <color rgb="FF000000"/>
        <rFont val="Arial"/>
        <family val="2"/>
      </rPr>
      <t>2</t>
    </r>
    <r>
      <rPr>
        <sz val="11"/>
        <color rgb="FF000000"/>
        <rFont val="Arial"/>
        <family val="2"/>
      </rPr>
      <t> </t>
    </r>
  </si>
  <si>
    <r>
      <t>1 psi (lb/in</t>
    </r>
    <r>
      <rPr>
        <vertAlign val="superscript"/>
        <sz val="11"/>
        <color rgb="FF000000"/>
        <rFont val="Arial"/>
        <family val="2"/>
      </rPr>
      <t>2</t>
    </r>
    <r>
      <rPr>
        <sz val="11"/>
        <color rgb="FF000000"/>
        <rFont val="Arial"/>
        <family val="2"/>
      </rPr>
      <t xml:space="preserve">) </t>
    </r>
  </si>
  <si>
    <r>
      <t>1 psf (lb</t>
    </r>
    <r>
      <rPr>
        <vertAlign val="subscript"/>
        <sz val="11"/>
        <color rgb="FF000000"/>
        <rFont val="Arial"/>
        <family val="2"/>
      </rPr>
      <t>f</t>
    </r>
    <r>
      <rPr>
        <sz val="11"/>
        <color rgb="FF000000"/>
        <rFont val="Arial"/>
        <family val="2"/>
      </rPr>
      <t>/ft</t>
    </r>
    <r>
      <rPr>
        <vertAlign val="superscript"/>
        <sz val="11"/>
        <color rgb="FF000000"/>
        <rFont val="Arial"/>
        <family val="2"/>
      </rPr>
      <t>2</t>
    </r>
    <r>
      <rPr>
        <sz val="11"/>
        <color rgb="FF000000"/>
        <rFont val="Arial"/>
        <family val="2"/>
      </rPr>
      <t xml:space="preserve">) </t>
    </r>
  </si>
  <si>
    <t>1.4504x10-4 lb/in2 </t>
  </si>
  <si>
    <t xml:space="preserve">1x10-5 bar </t>
  </si>
  <si>
    <t xml:space="preserve">4.03x10-3 in water </t>
  </si>
  <si>
    <t xml:space="preserve">0.336x10-3 ft water </t>
  </si>
  <si>
    <t xml:space="preserve">0.1024 mm water </t>
  </si>
  <si>
    <t xml:space="preserve">0.295x10-3 in mercury </t>
  </si>
  <si>
    <t xml:space="preserve">7.55x10-3mm mercury </t>
  </si>
  <si>
    <t>0.1024 kg/m2 </t>
  </si>
  <si>
    <t>0.993x10-5 atm</t>
  </si>
  <si>
    <t>10-6 N/mm2 </t>
  </si>
  <si>
    <t xml:space="preserve">10-5 bar </t>
  </si>
  <si>
    <t>0.1020 kp/m2 </t>
  </si>
  <si>
    <t xml:space="preserve">1.02x10-4 m H2O </t>
  </si>
  <si>
    <t xml:space="preserve">9.869x10-6 atm </t>
  </si>
  <si>
    <t>1.45x10-4 psi (lbf/in2)</t>
  </si>
  <si>
    <t>106 Pa</t>
  </si>
  <si>
    <t>1.020x105 kp/m2</t>
  </si>
  <si>
    <t>10 bar</t>
  </si>
  <si>
    <t>145.0 psi (lbf/in2)</t>
  </si>
  <si>
    <t>9.869 atm</t>
  </si>
  <si>
    <t>102.0 m H2O</t>
  </si>
  <si>
    <t>0.01934 lb/in2</t>
  </si>
  <si>
    <t>1 torr</t>
  </si>
  <si>
    <t>101,325 Pa (N/m2)</t>
  </si>
  <si>
    <t>760 mm mer</t>
  </si>
  <si>
    <t>29.92 in mercury at 62 0F (16.7 oC)</t>
  </si>
  <si>
    <t>10.33 m H2O at 62 0F (16.7 oC)</t>
  </si>
  <si>
    <t>33.9 ft H2O at 62 0F (16.7 oC)</t>
  </si>
  <si>
    <t>407.1 in H2O at 62 0F (16.7 oC)</t>
  </si>
  <si>
    <t>14.696 psi (lb/in2)</t>
  </si>
  <si>
    <t>1.013 bar</t>
  </si>
  <si>
    <t>1.033 kp/cm2</t>
  </si>
  <si>
    <t>1.033x104 kp/m2</t>
  </si>
  <si>
    <t>1.013x102 kN/m2</t>
  </si>
  <si>
    <t>1x105 Pa (N/m2)</t>
  </si>
  <si>
    <t>0.1 N/mm2</t>
  </si>
  <si>
    <t>10,197 kp/m</t>
  </si>
  <si>
    <t xml:space="preserve"> 10.20 m H2O</t>
  </si>
  <si>
    <t>75.0062 cm Hg (0oC)</t>
  </si>
  <si>
    <t>1x106barye (French)</t>
  </si>
  <si>
    <t>750 mmHg</t>
  </si>
  <si>
    <t>1x106 dyne/sq cm</t>
  </si>
  <si>
    <t>14.5038 psi (lbf/in2)</t>
  </si>
  <si>
    <t>0.98692 atm</t>
  </si>
  <si>
    <t>33.4883 ft H2O (60oF)</t>
  </si>
  <si>
    <t>2088.54 pound-force/sq foot</t>
  </si>
  <si>
    <t>1000 millibar</t>
  </si>
  <si>
    <t>1.01972 kg-force/sq cm</t>
  </si>
  <si>
    <t>29.530 in Hg (32oF)</t>
  </si>
  <si>
    <t>1019.72 gram-force/sq cm</t>
  </si>
  <si>
    <t>0.0736 mm mercury</t>
  </si>
  <si>
    <t>0.0394 in H2O</t>
  </si>
  <si>
    <t>1.422x10-3 psi (lb/in2)</t>
  </si>
  <si>
    <t>0.9681x10-4 atm</t>
  </si>
  <si>
    <t>1 mm H2O</t>
  </si>
  <si>
    <t>10-3 m H2O</t>
  </si>
  <si>
    <t>9.807x10-6 N/mm2</t>
  </si>
  <si>
    <t>9.81 Pa (N/m2)</t>
  </si>
  <si>
    <t>2.307 Ft. H2O</t>
  </si>
  <si>
    <t>0.06895 atm</t>
  </si>
  <si>
    <t>703.6 kg/m2</t>
  </si>
  <si>
    <t>51.8 mm mercury at 62oF (16.7oC)</t>
  </si>
  <si>
    <t>2.0416 in mercury at 62oF (16.7oC)</t>
  </si>
  <si>
    <t>703.1 mm H2O at 62oF (16.7oC)</t>
  </si>
  <si>
    <t>27.71 in H2O at 62oF (16.7oC)</t>
  </si>
  <si>
    <t>6.895x10-2 bar</t>
  </si>
  <si>
    <t>6.895x10-3 N/mm2</t>
  </si>
  <si>
    <t>6,894.8 Pa (N/m2)</t>
  </si>
  <si>
    <t>144 psf (lbf/ft2)</t>
  </si>
  <si>
    <t>0.006944 lbf/in2 (psi)</t>
  </si>
  <si>
    <t>47.88 N/m2 (Pa)</t>
  </si>
  <si>
    <t>Gypsum board (Sheetrock Brand Regular Panels)</t>
  </si>
  <si>
    <t>Fire Rated Gypsum Board (Sheetrock Brand Firecode Core Panels)</t>
  </si>
  <si>
    <t>Fire Rated Gypsum Board (Sheetrock Brand Firecode C Core Panels )</t>
  </si>
  <si>
    <t>GRC (cement board)</t>
  </si>
  <si>
    <t>Floor Deflection L360</t>
  </si>
  <si>
    <t>Floor Deflection L240</t>
  </si>
  <si>
    <t>Green</t>
  </si>
  <si>
    <t>Yellow</t>
  </si>
  <si>
    <t>Blue</t>
  </si>
  <si>
    <t>Black</t>
  </si>
  <si>
    <t>Gray</t>
  </si>
  <si>
    <t>Pink</t>
  </si>
  <si>
    <t>Red</t>
  </si>
  <si>
    <t>LOADING PER AREA</t>
  </si>
  <si>
    <t>SR 11</t>
  </si>
  <si>
    <t>SR 18</t>
  </si>
  <si>
    <t>SR 28</t>
  </si>
  <si>
    <t>SR 42</t>
  </si>
  <si>
    <t>SR 55</t>
  </si>
  <si>
    <t>SR 110</t>
  </si>
  <si>
    <t>SR 220</t>
  </si>
  <si>
    <t>SR 450</t>
  </si>
  <si>
    <t>SR 850</t>
  </si>
  <si>
    <t>SR 1200</t>
  </si>
  <si>
    <t>Yellos</t>
  </si>
  <si>
    <t>Grey</t>
  </si>
  <si>
    <t>Violet</t>
  </si>
  <si>
    <t>Loading AREA in m²</t>
  </si>
  <si>
    <t>ENTER THICKNESS HERE</t>
  </si>
  <si>
    <t>aluminium bronze (3-10% Al)</t>
  </si>
  <si>
    <t>aluminium foil</t>
  </si>
  <si>
    <t>antifriction metal</t>
  </si>
  <si>
    <t>beryllium</t>
  </si>
  <si>
    <t>beryllium copper</t>
  </si>
  <si>
    <t>brass - casting</t>
  </si>
  <si>
    <t>brass - rolled and drawn</t>
  </si>
  <si>
    <t>bronze - lead</t>
  </si>
  <si>
    <t>bronze - phosphorous</t>
  </si>
  <si>
    <t>bronze (8-14% Sn)</t>
  </si>
  <si>
    <t>cast iron</t>
  </si>
  <si>
    <t>cobolt</t>
  </si>
  <si>
    <t>copper</t>
  </si>
  <si>
    <t>delta metal</t>
  </si>
  <si>
    <t>electrum</t>
  </si>
  <si>
    <t>gold</t>
  </si>
  <si>
    <t>iron</t>
  </si>
  <si>
    <t>lead</t>
  </si>
  <si>
    <t>light alloy based on Al</t>
  </si>
  <si>
    <t>light alloy based on Mg</t>
  </si>
  <si>
    <t>magnesium</t>
  </si>
  <si>
    <t>mercury</t>
  </si>
  <si>
    <t>molybdenum</t>
  </si>
  <si>
    <t>monel</t>
  </si>
  <si>
    <t>nickel</t>
  </si>
  <si>
    <t>nickel silver</t>
  </si>
  <si>
    <t>platinum</t>
  </si>
  <si>
    <t>plutonium</t>
  </si>
  <si>
    <t>silver</t>
  </si>
  <si>
    <t>steel - rolled</t>
  </si>
  <si>
    <t>steel - stainless</t>
  </si>
  <si>
    <t>tin</t>
  </si>
  <si>
    <t>titanium</t>
  </si>
  <si>
    <t>tungsten</t>
  </si>
  <si>
    <t>uranium</t>
  </si>
  <si>
    <t>vanadium</t>
  </si>
  <si>
    <t>white metal</t>
  </si>
  <si>
    <t>zinc</t>
  </si>
  <si>
    <t>Metal or alloy</t>
  </si>
  <si>
    <t>DensDeck Roof Board</t>
  </si>
  <si>
    <t>IMPERIAL</t>
  </si>
  <si>
    <t>NOTE: Don't forget to also measure from the left speaker to the right wall. Make sure that all reflection points are treated either with absorption panels or angles that will deflect the sound to absorption material at the rear of the room. Use this same calculation for ceiling, floor, front wall, back wall, etc. Both Speakers for each surface!!
NOTE: Don't forget to also measure from the left speaker to the right wall. Make sure that all reflection points are treated either with absorption panels or angles that will deflect the sound to absorption material at the rear of the room. Use this same calculation for ceiling, floor, front wall, back wall, etc. Both Speakers for each surface!!</t>
  </si>
  <si>
    <t>any format - mm/cm/inches</t>
  </si>
  <si>
    <t xml:space="preserve">&lt;-- This should get you in the 'ball park'. </t>
  </si>
  <si>
    <t>&lt;-- This should get you in the 'ball park'.</t>
  </si>
  <si>
    <t>&lt;--Requirement**</t>
  </si>
  <si>
    <t>Unitless</t>
  </si>
  <si>
    <t>MDF is sometimes not completely air-tight. Seal with paint on inside or outside of the box for perfectly sealed box. If you are using the wall as part of the box, be sure that it is sealed well. Concrete (Hebel, Cinder, etc.) block must also be sealed with several layers of paint prior to use.</t>
  </si>
  <si>
    <t>Do not stretch the membrane across the frame, but simply seal it around all the edges leaving it limp and non-resonant. You do not want a drum head response here. We are only making a 'bag'.
Do not stretch the membrane across the frame, but simply seal it around all the edges leaving it limp and non-resonant. You do not want a drum head response here. We are only making a 'bag'.</t>
  </si>
  <si>
    <t>FREQUENCIES OF NOTES ON THE PIANO KEYBOARD</t>
  </si>
  <si>
    <t>Calculation of dB IL</t>
  </si>
  <si>
    <t>multiplier</t>
  </si>
  <si>
    <t>base</t>
  </si>
  <si>
    <t>exponent</t>
  </si>
  <si>
    <t xml:space="preserve"> = </t>
  </si>
  <si>
    <t>dB IL</t>
  </si>
  <si>
    <t>Enter dB IL</t>
  </si>
  <si>
    <t>Inverse Square Law</t>
  </si>
  <si>
    <t>dB IL at a given distance</t>
  </si>
  <si>
    <t>value of Pi</t>
  </si>
  <si>
    <t>4*PI*r^2</t>
  </si>
  <si>
    <t>surface area of sphere at original distance</t>
  </si>
  <si>
    <t>surface area of sphere at new distance</t>
  </si>
  <si>
    <t>change in dB</t>
  </si>
  <si>
    <t>(old 4PIr^2)/(new 4PIr^2)</t>
  </si>
  <si>
    <t>change in INTENSITY or POWER</t>
  </si>
  <si>
    <t>dB IL@new distance</t>
  </si>
  <si>
    <t>POWER</t>
  </si>
  <si>
    <t>CHANGE</t>
  </si>
  <si>
    <t>NEW POWER</t>
  </si>
  <si>
    <t>Reference is 20 µPa</t>
  </si>
  <si>
    <t>Formula is x dB SPL = 20LOG(Po/20) where Po is measures output pressure</t>
  </si>
  <si>
    <t>Calculation of dB SPL</t>
  </si>
  <si>
    <t>Enter Output Pressure in µPa</t>
  </si>
  <si>
    <t>dB SPL</t>
  </si>
  <si>
    <t>Calculation of Output Pressure in µPa</t>
  </si>
  <si>
    <t>Formula is Po = 20ALOG(dB SPL/20) = 20 * 10^(dB SPL/20)</t>
  </si>
  <si>
    <t>dB SPL at a given distance</t>
  </si>
  <si>
    <t>dB SPL@new distance</t>
  </si>
  <si>
    <t>SQUARE ROOT OF CHANGE IN INTENSITY TO GET CHANGE IN PRESSURE</t>
  </si>
  <si>
    <t>PRESSURE</t>
  </si>
  <si>
    <t>NEW PRESSURE</t>
  </si>
  <si>
    <t>ANSI S3.6-1996</t>
  </si>
  <si>
    <t>Frequency</t>
  </si>
  <si>
    <t>RETSPL</t>
  </si>
  <si>
    <t>Hz</t>
  </si>
  <si>
    <t>dB HL</t>
  </si>
  <si>
    <t>Speech</t>
  </si>
  <si>
    <r>
      <t xml:space="preserve">To convert dB SPL to dB HL </t>
    </r>
    <r>
      <rPr>
        <b/>
        <sz val="12"/>
        <rFont val="Arial"/>
        <family val="2"/>
      </rPr>
      <t>subtract</t>
    </r>
    <r>
      <rPr>
        <sz val="12"/>
        <rFont val="Arial"/>
        <family val="2"/>
      </rPr>
      <t xml:space="preserve"> the ANSI RETSPL</t>
    </r>
  </si>
  <si>
    <r>
      <t xml:space="preserve">To convert dB HL to dB SPL </t>
    </r>
    <r>
      <rPr>
        <b/>
        <sz val="12"/>
        <rFont val="Arial"/>
        <family val="2"/>
      </rPr>
      <t>add</t>
    </r>
    <r>
      <rPr>
        <sz val="12"/>
        <rFont val="Arial"/>
        <family val="2"/>
      </rPr>
      <t xml:space="preserve"> the ANSI RETSPL</t>
    </r>
  </si>
  <si>
    <t>Convert SPL to HL</t>
  </si>
  <si>
    <t>Convert HL to SPL</t>
  </si>
  <si>
    <t>correction</t>
  </si>
  <si>
    <t>IF THRESHOLD AND PRESENTATION LEVEL ARE BOTH IN dB HL</t>
  </si>
  <si>
    <t>Threshold</t>
  </si>
  <si>
    <t>Presentation level</t>
  </si>
  <si>
    <t>WILL THEY HEAR THE TONE PRESENTED AT PRESENTATION LEVEL?</t>
  </si>
  <si>
    <t>Sensation level of tone</t>
  </si>
  <si>
    <t>dB sl</t>
  </si>
  <si>
    <t>ANSWER</t>
  </si>
  <si>
    <t>IF THRESHOLD AND PRESENTATION LEVEL ARE BOTH IN dB SPL</t>
  </si>
  <si>
    <t>IF THRESHOLD AND PRESENTATION LEVEL ARE IN dB HL AND dB SPL you must convert to use SAME reference system</t>
  </si>
  <si>
    <t>To convert you must know frequency (Hz)</t>
  </si>
  <si>
    <t>Convert presentation level from dB SPL to dB HL</t>
  </si>
  <si>
    <t>Correction level from ANSI</t>
  </si>
  <si>
    <t>dB</t>
  </si>
  <si>
    <t>Converted presentation level</t>
  </si>
  <si>
    <t>THRESHOLD AND PRESENTATION LEVEL ARE NOW BOTH IN dB HL</t>
  </si>
  <si>
    <t>ANSWSER</t>
  </si>
  <si>
    <t>Presentation Level MINUS Threshold (but BOTH must be same reference system)</t>
  </si>
  <si>
    <t>Convert threshold from dB HL to dB SPL</t>
  </si>
  <si>
    <t>Converted Threshold</t>
  </si>
  <si>
    <t>IF YOU KNOW THE PRESENTATION LEVEL OF TONE IN dB HL AND ALSO SENSATION LEVEL OF TONE YOU CAN FIND THRESHOLD</t>
  </si>
  <si>
    <t>Sensation Level</t>
  </si>
  <si>
    <t>Threshold in dB HL</t>
  </si>
  <si>
    <t>Presentation level MINUS Sensation Level</t>
  </si>
  <si>
    <t>To find threshold in dB SPL you need to know the frequency</t>
  </si>
  <si>
    <t>Threshold in dB SPL</t>
  </si>
  <si>
    <t>Threshold in dB HL PLUS ANSI correction</t>
  </si>
  <si>
    <t>IF YOU KNOW THE PRESENTATION LEVEL OF TONE IN dB SPL AND ALSO SENSATION LEVEL OF TONE YOU CAN FIND THRESHOLD</t>
  </si>
  <si>
    <t>To find threshold in dB HL you need to know the frequency</t>
  </si>
  <si>
    <t>IF YOU KNOW THE PRESENTATION LEVEL OF A TONE IN dB SPL AND THE THRESHOLD IN dB HL YOU CAN FIND SENSATION LEVEL IF YOU KNOW FREQUENCY</t>
  </si>
  <si>
    <t>Presentation Level of tone</t>
  </si>
  <si>
    <t>Converted Threshold to dB SPL</t>
  </si>
  <si>
    <t>Sensation Level of tone</t>
  </si>
  <si>
    <t>Sensation Level is Presentation Level MINUS Threshold (but both must be same reference system)</t>
  </si>
  <si>
    <t>Enter values in the YELLOW boxes</t>
  </si>
  <si>
    <t>Enter values in YELLOW boxes</t>
  </si>
  <si>
    <t xml:space="preserve">ONLY CHANGE VALUES IN YELLOW BOXES;  ANSWERS ARE PROVIDED IN BLUE BOXES </t>
  </si>
  <si>
    <r>
      <t xml:space="preserve">Enter values in the </t>
    </r>
    <r>
      <rPr>
        <sz val="12"/>
        <rFont val="Arial"/>
        <family val="2"/>
      </rPr>
      <t>YELLOW boxes</t>
    </r>
  </si>
  <si>
    <t>Reference is 10^-12 watts/m^2 which in Scientific Notation is 1.0E-12</t>
  </si>
  <si>
    <t>The INTENSITY of a sound is inversely proportional to the square of the distance (same as the radius) from a sound source. So, when we double the DISTANCE the INTENSITY is reduced by a factor of 1/(2^2) or 1/4 Now, we know that the INTENSITY of a sound is proportional to the SQUARE of the PRESSURE When you double distance the INTENSITY is reduced by 1/4 and the PRESSURE is reduced by 1/2 because 1/2*1/2=1/4</t>
  </si>
  <si>
    <t>Reference SPL</t>
  </si>
  <si>
    <t>Reference Distance</t>
  </si>
  <si>
    <t>New Distance</t>
  </si>
  <si>
    <t>Calculation of Output Power 'Wo' when provided with  x dB IL</t>
  </si>
  <si>
    <t>Enter Output POWER 'Wo'</t>
  </si>
  <si>
    <t>The INTENSITY of a sound is inversely proportional to the square of the distance (same as the radius) from a sound source. So, when we double the DISTANCE the INTENSITY is reduced by a factor of 1/(2^2) or 1/4</t>
  </si>
  <si>
    <t>Reference dB IL</t>
  </si>
  <si>
    <t>4*PI*r²</t>
  </si>
  <si>
    <t>Watts/m²</t>
  </si>
  <si>
    <t>(old 4PIr²)/(new 4PIr²)</t>
  </si>
  <si>
    <t>Scientific Notation --&gt;</t>
  </si>
  <si>
    <t>&lt;-- Scientific Notation</t>
  </si>
  <si>
    <t xml:space="preserve"> </t>
  </si>
  <si>
    <t>CEILING WEIGHT CALCULATOR - METRIC</t>
  </si>
  <si>
    <t>Description</t>
  </si>
  <si>
    <t>L</t>
  </si>
  <si>
    <t>W</t>
  </si>
  <si>
    <t>Quantity</t>
  </si>
  <si>
    <t>mat density</t>
  </si>
  <si>
    <t>unit weight</t>
  </si>
  <si>
    <t>Glass Wool</t>
  </si>
  <si>
    <t>Rigid glass or rock wool</t>
  </si>
  <si>
    <t>steel track &amp; channel</t>
  </si>
  <si>
    <t>Steel dropped ceiling grid</t>
  </si>
  <si>
    <t>Lineal meters</t>
  </si>
  <si>
    <t>Ceiling Tiles</t>
  </si>
  <si>
    <t>fabric</t>
  </si>
  <si>
    <t>Treatment plywood</t>
  </si>
  <si>
    <t>PRD assembly</t>
  </si>
  <si>
    <t>Isolated Ceiling Joists</t>
  </si>
  <si>
    <t>Baffle boxes (mdf)</t>
  </si>
  <si>
    <t>Gypsum Board</t>
  </si>
  <si>
    <t xml:space="preserve">misc. lighting &amp; ventilation </t>
  </si>
  <si>
    <t>TOTAL WEIGHT</t>
  </si>
  <si>
    <t>Total Number of Ceiling Hangers</t>
  </si>
  <si>
    <t>weight per hanger</t>
  </si>
  <si>
    <t>CEILING WEIGHT CALCULATOR - IMPERIAL</t>
  </si>
  <si>
    <t>If you found this spreadsheet helpful, please send a donation via PayPal to erika@jhbrandt.net</t>
  </si>
  <si>
    <t>Brass</t>
  </si>
  <si>
    <t>Concrete</t>
  </si>
  <si>
    <t>Copper</t>
  </si>
  <si>
    <t>Gold</t>
  </si>
  <si>
    <t>Granite</t>
  </si>
  <si>
    <t>Iron</t>
  </si>
  <si>
    <t>Lead</t>
  </si>
  <si>
    <t>Silver</t>
  </si>
  <si>
    <t>Titanium</t>
  </si>
  <si>
    <t>Medium</t>
  </si>
  <si>
    <t>Beryllium</t>
  </si>
  <si>
    <t>Brick</t>
  </si>
  <si>
    <t>Cork</t>
  </si>
  <si>
    <t>366 - 518</t>
  </si>
  <si>
    <t>Diamond</t>
  </si>
  <si>
    <t>Glass, Pyrex</t>
  </si>
  <si>
    <t>Lucite</t>
  </si>
  <si>
    <t>Rubber, butyl</t>
  </si>
  <si>
    <t>Rubber</t>
  </si>
  <si>
    <t>40 - 150</t>
  </si>
  <si>
    <t>Steel</t>
  </si>
  <si>
    <t>Steel, stainless</t>
  </si>
  <si>
    <t>Wood (hard)</t>
  </si>
  <si>
    <t>Wood</t>
  </si>
  <si>
    <t>Fermat's Principle:Reflection</t>
  </si>
  <si>
    <t>b</t>
  </si>
  <si>
    <t>d</t>
  </si>
  <si>
    <t>Fermacell Gypsum Fibreboard</t>
  </si>
  <si>
    <t>Fermacell Firepanel A1</t>
  </si>
  <si>
    <t>silicate block</t>
  </si>
  <si>
    <t>Black Block Israel</t>
  </si>
  <si>
    <t>English Brick</t>
  </si>
  <si>
    <t>CMU Romania</t>
  </si>
  <si>
    <t>Oak Hardwood</t>
  </si>
  <si>
    <t>Reflection distance (center) from Operator</t>
  </si>
  <si>
    <t>Time</t>
  </si>
  <si>
    <t>Frequency / Time conversion</t>
  </si>
  <si>
    <t>Mixing Distance</t>
  </si>
  <si>
    <t>Room Length</t>
  </si>
  <si>
    <t xml:space="preserve">dB sl is decibels sensation level with reference to a listener threshold.    
Threshold is defined as the lowest level where a listener can hear tone 50% of the time. </t>
  </si>
  <si>
    <t>If you know a listener's threshold and if you know the presentation level of a tone you can find dB sl</t>
  </si>
  <si>
    <t>BETONYP</t>
  </si>
  <si>
    <t>Lightweight Concrete (Foamed)</t>
  </si>
  <si>
    <t>Frequency @ - 3 dB</t>
  </si>
  <si>
    <t>Decibel Reduction for single wall system</t>
  </si>
  <si>
    <t>Decibel Reduction for double wall system</t>
  </si>
  <si>
    <t>Gauge and weight chart for sheet steel, galvanized steel, stainless steel, aluminum and strip &amp; tubing:</t>
  </si>
  <si>
    <t>Gauge</t>
  </si>
  <si>
    <t>US Standard Gauge</t>
  </si>
  <si>
    <t>Galvanized Steel</t>
  </si>
  <si>
    <t>Stainless Steel</t>
  </si>
  <si>
    <t>Aluminum</t>
  </si>
  <si>
    <t>Strip &amp; Tubing</t>
  </si>
  <si>
    <t>(inches)</t>
  </si>
  <si>
    <t>Gauge Decimal</t>
  </si>
  <si>
    <t>Weight</t>
  </si>
  <si>
    <t>1/0 </t>
  </si>
  <si>
    <t>2/0 </t>
  </si>
  <si>
    <t>3/0 </t>
  </si>
  <si>
    <t>4/0 </t>
  </si>
  <si>
    <t>5/0 </t>
  </si>
  <si>
    <t>6/0 </t>
  </si>
  <si>
    <t>7/0 </t>
  </si>
  <si>
    <t>1 lb = 0.4536 kg</t>
  </si>
  <si>
    <t>REAL WORLD SIMULATION ASSUMING TWO SIMILAR WALL MASSES       MAM CONSTRUCTION (NOT APPLICABLE FOR FLOORS)</t>
  </si>
  <si>
    <t>Resistance</t>
  </si>
  <si>
    <t>Capacitance</t>
  </si>
  <si>
    <t>(-3 dB)</t>
  </si>
  <si>
    <t>Total</t>
  </si>
  <si>
    <t>Per meter</t>
  </si>
  <si>
    <t>Per Km</t>
  </si>
  <si>
    <t>CABLE COMPARISONS</t>
  </si>
  <si>
    <t>don't buy cable that will attenuate below 20kHz</t>
  </si>
  <si>
    <t>Lightweight Fiberglass</t>
  </si>
  <si>
    <t>Dacron - Polyester</t>
  </si>
  <si>
    <t>rolled steel</t>
  </si>
  <si>
    <t>Fermacell</t>
  </si>
  <si>
    <t>Australian Yellow Tongue</t>
  </si>
  <si>
    <t>Bamboo laminate</t>
  </si>
  <si>
    <t>Bamboo Woven</t>
  </si>
  <si>
    <t>Knauf Placo® Phonique BA 13</t>
  </si>
  <si>
    <t>KNAUF HORIZON 4</t>
  </si>
  <si>
    <r>
      <t>150</t>
    </r>
    <r>
      <rPr>
        <vertAlign val="superscript"/>
        <sz val="10"/>
        <rFont val="Arial"/>
        <family val="2"/>
      </rPr>
      <t>plus</t>
    </r>
  </si>
  <si>
    <r>
      <t>190</t>
    </r>
    <r>
      <rPr>
        <vertAlign val="superscript"/>
        <sz val="10"/>
        <rFont val="Arial"/>
        <family val="2"/>
      </rPr>
      <t>plus</t>
    </r>
  </si>
  <si>
    <r>
      <t>220</t>
    </r>
    <r>
      <rPr>
        <vertAlign val="superscript"/>
        <sz val="10"/>
        <rFont val="Arial"/>
        <family val="2"/>
      </rPr>
      <t>plus</t>
    </r>
  </si>
  <si>
    <r>
      <t>270</t>
    </r>
    <r>
      <rPr>
        <vertAlign val="superscript"/>
        <sz val="10"/>
        <rFont val="Arial"/>
        <family val="2"/>
      </rPr>
      <t>plus</t>
    </r>
  </si>
  <si>
    <r>
      <t>300</t>
    </r>
    <r>
      <rPr>
        <vertAlign val="superscript"/>
        <sz val="10"/>
        <rFont val="Arial"/>
        <family val="2"/>
      </rPr>
      <t>plus</t>
    </r>
  </si>
  <si>
    <r>
      <t>400</t>
    </r>
    <r>
      <rPr>
        <vertAlign val="superscript"/>
        <sz val="10"/>
        <rFont val="Arial"/>
        <family val="2"/>
      </rPr>
      <t>plus</t>
    </r>
  </si>
  <si>
    <r>
      <t>510</t>
    </r>
    <r>
      <rPr>
        <vertAlign val="superscript"/>
        <sz val="10"/>
        <rFont val="Arial"/>
        <family val="2"/>
      </rPr>
      <t>plus</t>
    </r>
  </si>
  <si>
    <r>
      <t>570</t>
    </r>
    <r>
      <rPr>
        <vertAlign val="superscript"/>
        <sz val="10"/>
        <rFont val="Arial"/>
        <family val="2"/>
      </rPr>
      <t>plus</t>
    </r>
  </si>
  <si>
    <r>
      <t>680</t>
    </r>
    <r>
      <rPr>
        <vertAlign val="superscript"/>
        <sz val="10"/>
        <rFont val="Arial"/>
        <family val="2"/>
      </rPr>
      <t>plus</t>
    </r>
  </si>
  <si>
    <r>
      <t>740</t>
    </r>
    <r>
      <rPr>
        <vertAlign val="superscript"/>
        <sz val="10"/>
        <rFont val="Arial"/>
        <family val="2"/>
      </rPr>
      <t>plus</t>
    </r>
  </si>
  <si>
    <r>
      <t>810</t>
    </r>
    <r>
      <rPr>
        <vertAlign val="superscript"/>
        <sz val="10"/>
        <rFont val="Arial"/>
        <family val="2"/>
      </rPr>
      <t>plus</t>
    </r>
  </si>
  <si>
    <r>
      <t>990</t>
    </r>
    <r>
      <rPr>
        <vertAlign val="superscript"/>
        <sz val="10"/>
        <rFont val="Arial"/>
        <family val="2"/>
      </rPr>
      <t>plus</t>
    </r>
  </si>
  <si>
    <r>
      <t xml:space="preserve">With porous absorber behind memrane, </t>
    </r>
    <r>
      <rPr>
        <u/>
        <sz val="10"/>
        <color indexed="12"/>
        <rFont val="Arial"/>
        <family val="2"/>
      </rPr>
      <t>not</t>
    </r>
    <r>
      <rPr>
        <u/>
        <sz val="10"/>
        <rFont val="Arial"/>
        <family val="2"/>
      </rPr>
      <t xml:space="preserve"> </t>
    </r>
    <r>
      <rPr>
        <sz val="10"/>
        <rFont val="Arial"/>
        <family val="2"/>
      </rPr>
      <t>touching it</t>
    </r>
  </si>
  <si>
    <t>The table below indicates current ratings for fixed cable installations within buildings. The table is based on PVC-wiring and PVC-insulated cables - single wire, fine wires and multi stranded wires.</t>
  </si>
  <si>
    <t>Installation Method</t>
  </si>
  <si>
    <t>A1</t>
  </si>
  <si>
    <t>A2</t>
  </si>
  <si>
    <t>B1</t>
  </si>
  <si>
    <t>B2</t>
  </si>
  <si>
    <t>Installation</t>
  </si>
  <si>
    <t>Single core cables, in insulating tubes, in thermally insulated walls</t>
  </si>
  <si>
    <t>Multi core sheathed cables, in insulating tubes, in thermally insulated walls</t>
  </si>
  <si>
    <t>Single core cables, in insulating tubes, on walls</t>
  </si>
  <si>
    <t>Multi core cables, or multi core sheathed cables, in insulating tubes, on walls</t>
  </si>
  <si>
    <t>Number of Cores</t>
  </si>
  <si>
    <t>Cross-Section </t>
  </si>
  <si>
    <r>
      <t>(mm</t>
    </r>
    <r>
      <rPr>
        <b/>
        <i/>
        <vertAlign val="superscript"/>
        <sz val="9"/>
        <color rgb="FF000000"/>
        <rFont val="Arial"/>
        <family val="2"/>
      </rPr>
      <t>2</t>
    </r>
    <r>
      <rPr>
        <b/>
        <i/>
        <sz val="9"/>
        <color rgb="FF000000"/>
        <rFont val="Arial"/>
        <family val="2"/>
      </rPr>
      <t>)</t>
    </r>
  </si>
  <si>
    <t>Current Ratings </t>
  </si>
  <si>
    <t>(ampere)</t>
  </si>
  <si>
    <t>Knauf Vidiwall</t>
  </si>
  <si>
    <t>Knauf Diamant</t>
  </si>
  <si>
    <t>Norweigan pavers</t>
  </si>
  <si>
    <t>Norweigan Pavers</t>
  </si>
  <si>
    <t>Sound Velocity - SI Units</t>
  </si>
  <si>
    <t>k - ratio of specific heats</t>
  </si>
  <si>
    <t>R - individual gas constant (J/kg K)</t>
  </si>
  <si>
    <t>T - absolute temperature (K)</t>
  </si>
  <si>
    <t>Sound Velocity - Imperial Units</t>
  </si>
  <si>
    <t>R - individual gas constant (ft lb/slug oR)</t>
  </si>
  <si>
    <t>T - absolute temperature (R)</t>
  </si>
  <si>
    <t>Gas</t>
  </si>
  <si>
    <t>Ratio of Specific Heat</t>
  </si>
  <si>
    <t>- k -</t>
  </si>
  <si>
    <t>Acetylene</t>
  </si>
  <si>
    <t>Air, Standard - Isothermic</t>
  </si>
  <si>
    <t>Air, Standard - Adiabatic</t>
  </si>
  <si>
    <t>Ammonia</t>
  </si>
  <si>
    <t>Argon</t>
  </si>
  <si>
    <t>Benzene</t>
  </si>
  <si>
    <t>N-butane</t>
  </si>
  <si>
    <t>Iso-butane</t>
  </si>
  <si>
    <t>Carbon Dioxide</t>
  </si>
  <si>
    <t>Carbon Disulphide</t>
  </si>
  <si>
    <t>Carbon Monoxide</t>
  </si>
  <si>
    <t>Chlorine</t>
  </si>
  <si>
    <t>Ethane</t>
  </si>
  <si>
    <t>Ethyl alcohol</t>
  </si>
  <si>
    <t>Ethyl chloride</t>
  </si>
  <si>
    <t>Ethylene</t>
  </si>
  <si>
    <t>Helium</t>
  </si>
  <si>
    <t>N-heptane</t>
  </si>
  <si>
    <t>Hexane</t>
  </si>
  <si>
    <t>Hydrochloric acid</t>
  </si>
  <si>
    <t>Hydrogen</t>
  </si>
  <si>
    <t>Hydrogen chloride</t>
  </si>
  <si>
    <t>Hydrogen sulphide</t>
  </si>
  <si>
    <t>Methane</t>
  </si>
  <si>
    <t>Methyl alcohol</t>
  </si>
  <si>
    <t>Methyl butane</t>
  </si>
  <si>
    <t>Methyl chloride</t>
  </si>
  <si>
    <t>Natural Gas (Methane)</t>
  </si>
  <si>
    <t>Nitric oxide</t>
  </si>
  <si>
    <t>Nitrous oxide</t>
  </si>
  <si>
    <t>N-octane</t>
  </si>
  <si>
    <t>N-pentane</t>
  </si>
  <si>
    <t>Iso-pentane</t>
  </si>
  <si>
    <t>Propane</t>
  </si>
  <si>
    <t>R-11</t>
  </si>
  <si>
    <t>R-12</t>
  </si>
  <si>
    <t>R-22</t>
  </si>
  <si>
    <t>R-114</t>
  </si>
  <si>
    <t>R-123</t>
  </si>
  <si>
    <t>R-134a</t>
  </si>
  <si>
    <t>Steam (water)</t>
  </si>
  <si>
    <t>Sulphur dioxide</t>
  </si>
  <si>
    <t>Toulene</t>
  </si>
  <si>
    <t>***</t>
  </si>
  <si>
    <t>Specific Heat</t>
  </si>
  <si>
    <t>(kJ/(kg K))</t>
  </si>
  <si>
    <t>Gas or Vapor</t>
  </si>
  <si>
    <t>Formula</t>
  </si>
  <si>
    <t>Specific Heat Ratio</t>
  </si>
  <si>
    <t>Individual Gas constant</t>
  </si>
  <si>
    <t>- R -</t>
  </si>
  <si>
    <t>Acetone</t>
  </si>
  <si>
    <t>Air</t>
  </si>
  <si>
    <t>Alcohol (ethanol)</t>
  </si>
  <si>
    <t>Alcohol (methanol)</t>
  </si>
  <si>
    <t>Ar</t>
  </si>
  <si>
    <t>Blast furnace gas</t>
  </si>
  <si>
    <t>Bromine</t>
  </si>
  <si>
    <t>Butane</t>
  </si>
  <si>
    <t>Carbon dioxide</t>
  </si>
  <si>
    <t>Carbon monoxide</t>
  </si>
  <si>
    <t>CO</t>
  </si>
  <si>
    <t>Carbon disulphide</t>
  </si>
  <si>
    <t>Chloroform</t>
  </si>
  <si>
    <t>Coal gas</t>
  </si>
  <si>
    <t>Combustion products</t>
  </si>
  <si>
    <t>Ether (diethyl ether)</t>
  </si>
  <si>
    <t>Chlorodifluoromethane, R-22</t>
  </si>
  <si>
    <t>He</t>
  </si>
  <si>
    <t>Hydrogen Chloride</t>
  </si>
  <si>
    <t>HCl</t>
  </si>
  <si>
    <t>Hydrogen Sulfide</t>
  </si>
  <si>
    <t>Hydroxyl</t>
  </si>
  <si>
    <t>OH</t>
  </si>
  <si>
    <t>Krypton</t>
  </si>
  <si>
    <t>Kr</t>
  </si>
  <si>
    <t>Methyl Chloride</t>
  </si>
  <si>
    <t>Natural Gas</t>
  </si>
  <si>
    <t>Neon</t>
  </si>
  <si>
    <t>Ne</t>
  </si>
  <si>
    <t>Nitric Oxide</t>
  </si>
  <si>
    <t>NO</t>
  </si>
  <si>
    <t>Nitrogen tetroxide</t>
  </si>
  <si>
    <t>Pentane</t>
  </si>
  <si>
    <t>Propene (propylene)</t>
  </si>
  <si>
    <t>Water Vapor</t>
  </si>
  <si>
    <t>Sulfur dioxide (Sulphur dioxide)</t>
  </si>
  <si>
    <t>Xenon</t>
  </si>
  <si>
    <t>Xe</t>
  </si>
  <si>
    <t>cp</t>
  </si>
  <si>
    <t>cv</t>
  </si>
  <si>
    <t>(Btu/(lbmoF))</t>
  </si>
  <si>
    <t>κ = cp / cv</t>
  </si>
  <si>
    <t>cp - cv</t>
  </si>
  <si>
    <t>(ft lbf/(lbmoR))</t>
  </si>
  <si>
    <t>(CH3)2CO</t>
  </si>
  <si>
    <t>C2H2</t>
  </si>
  <si>
    <t>C2H5OH</t>
  </si>
  <si>
    <t>CH3OH</t>
  </si>
  <si>
    <t>NH3</t>
  </si>
  <si>
    <t>C6H6</t>
  </si>
  <si>
    <t>Br2</t>
  </si>
  <si>
    <t>C4H10</t>
  </si>
  <si>
    <t>CO2</t>
  </si>
  <si>
    <t>CS2</t>
  </si>
  <si>
    <t>Cl2</t>
  </si>
  <si>
    <t>CHCl3</t>
  </si>
  <si>
    <t>C2H6</t>
  </si>
  <si>
    <t>(C2H5)2O</t>
  </si>
  <si>
    <t>C2H4</t>
  </si>
  <si>
    <t> CHClF2</t>
  </si>
  <si>
    <t> C6H14</t>
  </si>
  <si>
    <t>H2</t>
  </si>
  <si>
    <t>H2S</t>
  </si>
  <si>
    <t>CH4</t>
  </si>
  <si>
    <t>CH3Cl</t>
  </si>
  <si>
    <t>N2</t>
  </si>
  <si>
    <t>N2O4</t>
  </si>
  <si>
    <t>N2O</t>
  </si>
  <si>
    <t>O2</t>
  </si>
  <si>
    <t>C5H12</t>
  </si>
  <si>
    <t>C3H8</t>
  </si>
  <si>
    <t>C3H6</t>
  </si>
  <si>
    <t>H2O</t>
  </si>
  <si>
    <t>SO2</t>
  </si>
  <si>
    <t>Steam 1 psia. 120 – 600 ˚F</t>
  </si>
  <si>
    <t>Steam 14.7 psia. 220 – 600 ˚F</t>
  </si>
  <si>
    <t>Steam 150 psia. 360 – 600 ˚F</t>
  </si>
  <si>
    <r>
      <t>Velocity</t>
    </r>
    <r>
      <rPr>
        <b/>
        <i/>
        <sz val="8"/>
        <color rgb="FF000000"/>
        <rFont val="Arial"/>
        <family val="2"/>
      </rPr>
      <t>(m/s)</t>
    </r>
  </si>
  <si>
    <t>3500 - 4700</t>
  </si>
  <si>
    <t>3600 - 4200</t>
  </si>
  <si>
    <t>3200 - 3700</t>
  </si>
  <si>
    <t>3560 - 3900</t>
  </si>
  <si>
    <t>3950 - 5000</t>
  </si>
  <si>
    <t>3850 - 5130</t>
  </si>
  <si>
    <t>1160 - 1320</t>
  </si>
  <si>
    <t>4880 - 5050</t>
  </si>
  <si>
    <t>3300 - 5000</t>
  </si>
  <si>
    <r>
      <t>Velocity</t>
    </r>
    <r>
      <rPr>
        <b/>
        <i/>
        <sz val="8"/>
        <color rgb="FF000000"/>
        <rFont val="Arial"/>
        <family val="2"/>
      </rPr>
      <t>(ft./s)</t>
    </r>
  </si>
  <si>
    <t>11482.94 - 15419.95</t>
  </si>
  <si>
    <t>11811.02 - 13779.53</t>
  </si>
  <si>
    <t>10498.69 - 12139.11</t>
  </si>
  <si>
    <t>11679.79 - 12795.28</t>
  </si>
  <si>
    <t>1200.787 - 1699.475</t>
  </si>
  <si>
    <t>12959.32 - 16404.2</t>
  </si>
  <si>
    <t>12631.23 - 16830.71</t>
  </si>
  <si>
    <t>3805.774 - 4330.709</t>
  </si>
  <si>
    <t>131.2336 - 492.126</t>
  </si>
  <si>
    <t>16010.5 - 16568.24</t>
  </si>
  <si>
    <t>10826.77 - 16404.2</t>
  </si>
  <si>
    <t>Adabiatic</t>
  </si>
  <si>
    <t>Isothermal</t>
  </si>
  <si>
    <t>Length of travel</t>
  </si>
  <si>
    <t>In Air</t>
  </si>
  <si>
    <t>In Fiber</t>
  </si>
  <si>
    <t>Time (S)</t>
  </si>
  <si>
    <t>Total time</t>
  </si>
  <si>
    <t>WIDTH</t>
  </si>
  <si>
    <t>HEIGHT</t>
  </si>
  <si>
    <t>Accelleration Inertia</t>
  </si>
  <si>
    <t>Speaker cone mass</t>
  </si>
  <si>
    <t>maximum excursion</t>
  </si>
  <si>
    <t>eXP Sheathing - Fire Shield</t>
  </si>
  <si>
    <t>GP DensGlass</t>
  </si>
  <si>
    <t>Equipment Description</t>
  </si>
  <si>
    <t>A @ 120V</t>
  </si>
  <si>
    <t>A @ 240V</t>
  </si>
  <si>
    <t>Wire Size Conversion Table</t>
  </si>
  <si>
    <t>A useful chart to convert between AWG wire sizes and cross sectional area.</t>
  </si>
  <si>
    <t>American Wire Gauge</t>
  </si>
  <si>
    <t>Diameter</t>
  </si>
  <si>
    <t>Cross Sectional</t>
  </si>
  <si>
    <t>WIRE SIZE CSA (mm)</t>
  </si>
  <si>
    <t>STRANDS</t>
  </si>
  <si>
    <t>AWG</t>
  </si>
  <si>
    <t>EQUIVALENT SINGLE STRAND DIAMETER (mm)</t>
  </si>
  <si>
    <t>(AWG)</t>
  </si>
  <si>
    <t>(mm)</t>
  </si>
  <si>
    <r>
      <t xml:space="preserve">Area </t>
    </r>
    <r>
      <rPr>
        <sz val="10"/>
        <rFont val="Arial"/>
        <family val="2"/>
      </rPr>
      <t>(mm</t>
    </r>
    <r>
      <rPr>
        <vertAlign val="superscript"/>
        <sz val="11"/>
        <color theme="1"/>
        <rFont val="Calibri"/>
        <family val="2"/>
        <scheme val="minor"/>
      </rPr>
      <t>2</t>
    </r>
    <r>
      <rPr>
        <sz val="10"/>
        <rFont val="Arial"/>
        <family val="2"/>
      </rPr>
      <t>)</t>
    </r>
  </si>
  <si>
    <t>1/0.25</t>
  </si>
  <si>
    <t>7/0.10</t>
  </si>
  <si>
    <t>19/0.70</t>
  </si>
  <si>
    <t>1/0.315</t>
  </si>
  <si>
    <t>7/0.12</t>
  </si>
  <si>
    <t>1/0.40</t>
  </si>
  <si>
    <t>48/0.05</t>
  </si>
  <si>
    <t>7/0.015</t>
  </si>
  <si>
    <t>18/0.10</t>
  </si>
  <si>
    <t>14/0.12</t>
  </si>
  <si>
    <t>TOTALS</t>
  </si>
  <si>
    <t>7/0.20</t>
  </si>
  <si>
    <t>1/0.60</t>
  </si>
  <si>
    <t>7/0.23</t>
  </si>
  <si>
    <t>19/0.15</t>
  </si>
  <si>
    <t>7/0.25</t>
  </si>
  <si>
    <t>13/0.20</t>
  </si>
  <si>
    <t>7/0.30</t>
  </si>
  <si>
    <t>28/0.15</t>
  </si>
  <si>
    <t>7/0.302</t>
  </si>
  <si>
    <t>16/0.20</t>
  </si>
  <si>
    <t>1/0.80</t>
  </si>
  <si>
    <t>19/0.19</t>
  </si>
  <si>
    <t>8/0.30</t>
  </si>
  <si>
    <t>12/0.25</t>
  </si>
  <si>
    <t>19/0.20</t>
  </si>
  <si>
    <t>9/0.30</t>
  </si>
  <si>
    <t>1/0.90</t>
  </si>
  <si>
    <t>14/0.25</t>
  </si>
  <si>
    <t>42/0.15</t>
  </si>
  <si>
    <t>24/0.20</t>
  </si>
  <si>
    <t>19/0.23</t>
  </si>
  <si>
    <t>19/0.25</t>
  </si>
  <si>
    <t>14/0.30</t>
  </si>
  <si>
    <t>1/1.13</t>
  </si>
  <si>
    <t>32/0.20</t>
  </si>
  <si>
    <t>40/0.20</t>
  </si>
  <si>
    <t>18/0.30</t>
  </si>
  <si>
    <t>19/0.30</t>
  </si>
  <si>
    <t>7/0.50</t>
  </si>
  <si>
    <t>30/0.25</t>
  </si>
  <si>
    <t>21/0.30</t>
  </si>
  <si>
    <t>1/1.38</t>
  </si>
  <si>
    <t>19/0.32</t>
  </si>
  <si>
    <t>19/0.335</t>
  </si>
  <si>
    <t>37/0.25</t>
  </si>
  <si>
    <t>19/0.35</t>
  </si>
  <si>
    <t>27/0.30</t>
  </si>
  <si>
    <t>63/0.20</t>
  </si>
  <si>
    <t>28/0.30</t>
  </si>
  <si>
    <t>19/0.37</t>
  </si>
  <si>
    <t>50/0.25</t>
  </si>
  <si>
    <t>7/0.67</t>
  </si>
  <si>
    <t>35/0.30</t>
  </si>
  <si>
    <t>1/1.78</t>
  </si>
  <si>
    <t>19/0.41</t>
  </si>
  <si>
    <t>37/0.315</t>
  </si>
  <si>
    <t>37/0.32</t>
  </si>
  <si>
    <t>19/0.45</t>
  </si>
  <si>
    <t>44/0.30</t>
  </si>
  <si>
    <t>45/0.30</t>
  </si>
  <si>
    <t>53/0.30</t>
  </si>
  <si>
    <t>56/0.30</t>
  </si>
  <si>
    <t>7/0.85</t>
  </si>
  <si>
    <t>1/2.25</t>
  </si>
  <si>
    <t>65/0.30</t>
  </si>
  <si>
    <t>37/0.40</t>
  </si>
  <si>
    <t>73/0.30</t>
  </si>
  <si>
    <t>84/0.30</t>
  </si>
  <si>
    <t>7/1.04</t>
  </si>
  <si>
    <t>97/0.30</t>
  </si>
  <si>
    <t>37/0.50</t>
  </si>
  <si>
    <t>105/0.30</t>
  </si>
  <si>
    <t>119/0.30</t>
  </si>
  <si>
    <t>120/0.30</t>
  </si>
  <si>
    <t>1/3.57</t>
  </si>
  <si>
    <t>7/1.35</t>
  </si>
  <si>
    <t>182/0.30</t>
  </si>
  <si>
    <t>7/1.70</t>
  </si>
  <si>
    <t>1/4.50</t>
  </si>
  <si>
    <t>7/2.14</t>
  </si>
  <si>
    <t>19/1.35</t>
  </si>
  <si>
    <t>19/1.53</t>
  </si>
  <si>
    <t>Dropped Weight Calculations</t>
  </si>
  <si>
    <t>Impact</t>
  </si>
  <si>
    <t>1-D QRD/PRD - Schroeder Style</t>
  </si>
  <si>
    <t>MDO</t>
  </si>
  <si>
    <t>Plywood, birch</t>
  </si>
  <si>
    <t>ApplePly</t>
  </si>
  <si>
    <t>Baltic Birch</t>
  </si>
  <si>
    <t>Particle Board</t>
  </si>
  <si>
    <t>Insersion Loss</t>
  </si>
  <si>
    <t>System</t>
  </si>
  <si>
    <t>Cable</t>
  </si>
  <si>
    <t>TOTAL Resistance</t>
  </si>
  <si>
    <t>1/2 wave</t>
  </si>
  <si>
    <t>1/4 wave</t>
  </si>
  <si>
    <t>Force Equals</t>
  </si>
  <si>
    <t>Cabinet mass</t>
  </si>
  <si>
    <t>Inertia</t>
  </si>
  <si>
    <t>Effective cabinet vibration</t>
  </si>
  <si>
    <t>Tweeter Frequency</t>
  </si>
  <si>
    <t>Mid-Range Speaker Frequency</t>
  </si>
  <si>
    <t>Woofer Speaker Frequency</t>
  </si>
  <si>
    <t>cone mass</t>
  </si>
  <si>
    <t>dome mass</t>
  </si>
  <si>
    <r>
      <t>1 ft</t>
    </r>
    <r>
      <rPr>
        <i/>
        <vertAlign val="superscript"/>
        <sz val="9"/>
        <color rgb="FF000000"/>
        <rFont val="Arial"/>
        <family val="2"/>
      </rPr>
      <t>2</t>
    </r>
    <r>
      <rPr>
        <i/>
        <sz val="9"/>
        <color rgb="FF000000"/>
        <rFont val="Arial"/>
        <family val="2"/>
      </rPr>
      <t> = 0.0929 m</t>
    </r>
    <r>
      <rPr>
        <i/>
        <vertAlign val="superscript"/>
        <sz val="9"/>
        <color rgb="FF000000"/>
        <rFont val="Arial"/>
        <family val="2"/>
      </rPr>
      <t>2</t>
    </r>
  </si>
  <si>
    <r>
      <t>(lb/ft</t>
    </r>
    <r>
      <rPr>
        <vertAlign val="superscript"/>
        <sz val="8"/>
        <rFont val="Arial"/>
        <family val="2"/>
      </rPr>
      <t>2</t>
    </r>
    <r>
      <rPr>
        <sz val="8"/>
        <rFont val="Arial"/>
        <family val="2"/>
      </rPr>
      <t xml:space="preserve">) </t>
    </r>
    <r>
      <rPr>
        <sz val="8"/>
        <color rgb="FF0000FF"/>
        <rFont val="Arial"/>
        <family val="2"/>
      </rPr>
      <t>(kg/m2)</t>
    </r>
  </si>
  <si>
    <r>
      <t xml:space="preserve">(inches) </t>
    </r>
    <r>
      <rPr>
        <sz val="8"/>
        <color rgb="FF0000FF"/>
        <rFont val="Arial"/>
        <family val="2"/>
      </rPr>
      <t>(mm)</t>
    </r>
  </si>
  <si>
    <r>
      <t>(inches)</t>
    </r>
    <r>
      <rPr>
        <sz val="8"/>
        <color rgb="FF0000FF"/>
        <rFont val="Arial"/>
        <family val="2"/>
      </rPr>
      <t xml:space="preserve"> (mm)</t>
    </r>
  </si>
  <si>
    <r>
      <t>(lb/ft</t>
    </r>
    <r>
      <rPr>
        <vertAlign val="superscript"/>
        <sz val="8"/>
        <rFont val="Arial"/>
        <family val="2"/>
      </rPr>
      <t>2</t>
    </r>
    <r>
      <rPr>
        <sz val="8"/>
        <rFont val="Arial"/>
        <family val="2"/>
      </rPr>
      <t>) (</t>
    </r>
    <r>
      <rPr>
        <sz val="8"/>
        <color rgb="FF0000FF"/>
        <rFont val="Arial"/>
        <family val="2"/>
      </rPr>
      <t>kg/m2)</t>
    </r>
  </si>
  <si>
    <t>Change ONLY the Yellow Cells!</t>
  </si>
  <si>
    <t>Distrubing Noise Level</t>
  </si>
  <si>
    <t>at 1 kHz</t>
  </si>
  <si>
    <t>Predicted SOUND-TRANSMISSION-LOSS</t>
  </si>
  <si>
    <t>Measured at (distance)</t>
  </si>
  <si>
    <t>Inverse Square Law @</t>
  </si>
  <si>
    <t>A-Weighting (dB)</t>
  </si>
  <si>
    <t>C-Weighting (dB)</t>
  </si>
  <si>
    <t>No Weighting</t>
  </si>
  <si>
    <t>C-Weighted</t>
  </si>
  <si>
    <t>A-Weighted</t>
  </si>
  <si>
    <t>Change in dB</t>
  </si>
  <si>
    <t>sq rt of change</t>
  </si>
  <si>
    <t>orgin surface area</t>
  </si>
  <si>
    <t>new surface area</t>
  </si>
  <si>
    <t>change in intensity</t>
  </si>
  <si>
    <t>change</t>
  </si>
  <si>
    <t>New pressure</t>
  </si>
  <si>
    <t>Frequency (Hz)</t>
  </si>
  <si>
    <t>Relative Humidity (%)</t>
  </si>
  <si>
    <t>2.70 −1 dB/km</t>
  </si>
  <si>
    <t>2.14 −1 dB/km</t>
  </si>
  <si>
    <t>1.74 −1 dB/km</t>
  </si>
  <si>
    <t>1.25 −1 dB/km</t>
  </si>
  <si>
    <t>9.65 −2 dB/km</t>
  </si>
  <si>
    <t>7.84 −2 dB/km</t>
  </si>
  <si>
    <t>6.60 −2 dB/km</t>
  </si>
  <si>
    <t>5.70 −2 dB/km</t>
  </si>
  <si>
    <t>5.01 −2 dB/km</t>
  </si>
  <si>
    <t>4.47 −2 dB/km</t>
  </si>
  <si>
    <t>4.03 −2 dB/km</t>
  </si>
  <si>
    <t>3.70 −1 dB/km</t>
  </si>
  <si>
    <t>3.10 −1 dB/km</t>
  </si>
  <si>
    <t>2.60 −1 dB/km</t>
  </si>
  <si>
    <t>1.92 −1 dB/km</t>
  </si>
  <si>
    <t>1.50 −1 dB/km</t>
  </si>
  <si>
    <t>1.23 −1 dB/km</t>
  </si>
  <si>
    <t>1.04 −1 dB/km</t>
  </si>
  <si>
    <t>8.97 −2 dB/km</t>
  </si>
  <si>
    <t>7.90 −2 dB/km</t>
  </si>
  <si>
    <t>7.05 −2 dB/km</t>
  </si>
  <si>
    <t>6.37 −2 dB/km</t>
  </si>
  <si>
    <t>4.87 −1 dB/km</t>
  </si>
  <si>
    <t>4.32 −1 dB/km</t>
  </si>
  <si>
    <t>3.77 −1 dB/km</t>
  </si>
  <si>
    <t>2.90 −1 dB/km</t>
  </si>
  <si>
    <t>2.31 −1 dB/km</t>
  </si>
  <si>
    <t>1.91 −1 dB/km</t>
  </si>
  <si>
    <t>1.62 −1 dB/km</t>
  </si>
  <si>
    <t>1.41 −1 dB/km</t>
  </si>
  <si>
    <t>1.24 −1 dB/km</t>
  </si>
  <si>
    <t>1.11 −1 dB/km</t>
  </si>
  <si>
    <t>1.00 −1 dB/km</t>
  </si>
  <si>
    <t>6.22 −1 dB/km</t>
  </si>
  <si>
    <t>5.79 −1 dB/km</t>
  </si>
  <si>
    <t>5.29 −1 dB/km</t>
  </si>
  <si>
    <t>4.29 −1 dB/km</t>
  </si>
  <si>
    <t>3.51 −1 dB/km</t>
  </si>
  <si>
    <t>2.94 −1 dB/km</t>
  </si>
  <si>
    <t>2.52 −1 dB/km</t>
  </si>
  <si>
    <t>2.20 −1 dB/km</t>
  </si>
  <si>
    <t>1.94 −1 dB/km</t>
  </si>
  <si>
    <t>1.58 −1 dB/km</t>
  </si>
  <si>
    <t>7.76 −1 dB/km</t>
  </si>
  <si>
    <t>7.46 −1 dB/km</t>
  </si>
  <si>
    <t>7.12 −1 dB/km</t>
  </si>
  <si>
    <t>6.15 −1 dB/km</t>
  </si>
  <si>
    <t>5.21 −1 dB/km</t>
  </si>
  <si>
    <t>4.45 −1 dB/km</t>
  </si>
  <si>
    <t>3.86 −1 dB/km</t>
  </si>
  <si>
    <t>3.39 −1 dB/km</t>
  </si>
  <si>
    <t>3.02 −1 dB/km</t>
  </si>
  <si>
    <t>2.72 −1 dB/km</t>
  </si>
  <si>
    <t>2.47 −1 dB/km</t>
  </si>
  <si>
    <t>9.65 −1 dB/km</t>
  </si>
  <si>
    <t>9.31 −1 dB/km</t>
  </si>
  <si>
    <t>9.19 −1 dB/km</t>
  </si>
  <si>
    <t>8.49 −1 dB/km</t>
  </si>
  <si>
    <t>7.52 −1 dB/km</t>
  </si>
  <si>
    <t>6.60 −1 dB/km</t>
  </si>
  <si>
    <t>5.82 −1 dB/km</t>
  </si>
  <si>
    <t>5.18 −1 dB/km</t>
  </si>
  <si>
    <t>4.65 −1 dB/km</t>
  </si>
  <si>
    <t>4.21 −1 dB/km</t>
  </si>
  <si>
    <t>3.84 −1 dB/km</t>
  </si>
  <si>
    <t>1.22 +0 dB/km</t>
  </si>
  <si>
    <t>1.14 +0 dB/km</t>
  </si>
  <si>
    <t>1.12 +0 dB/km</t>
  </si>
  <si>
    <t>1.05 +0 dB/km</t>
  </si>
  <si>
    <t>9.50 −1 dB/km</t>
  </si>
  <si>
    <t>8.58 −1 dB/km</t>
  </si>
  <si>
    <t>7.05 −1 dB/km</t>
  </si>
  <si>
    <t>6.44 −1 dB/km</t>
  </si>
  <si>
    <t>5.91 −1 dB/km</t>
  </si>
  <si>
    <t>1.58 +0 dB/km</t>
  </si>
  <si>
    <t>1.39 +0 dB/km</t>
  </si>
  <si>
    <t>1.42 +0 dB/km</t>
  </si>
  <si>
    <t>1.32 +0 dB/km</t>
  </si>
  <si>
    <t>1.23 +0 dB/km</t>
  </si>
  <si>
    <t>1.13 +0 dB/km</t>
  </si>
  <si>
    <t>1.04 +0 dB/km</t>
  </si>
  <si>
    <t>9.66 −1 dB/km</t>
  </si>
  <si>
    <t>8.95 −1 dB/km</t>
  </si>
  <si>
    <t>2.12 +0 dB/km</t>
  </si>
  <si>
    <t>1.74 +0 dB/km</t>
  </si>
  <si>
    <t>1.69 +0 dB/km</t>
  </si>
  <si>
    <t>1.75 +0 dB/km</t>
  </si>
  <si>
    <t>1.78 +0 dB/km</t>
  </si>
  <si>
    <t>1.68 +0 dB/km</t>
  </si>
  <si>
    <t>1.60 +0 dB/km</t>
  </si>
  <si>
    <t>1.50 +0 dB/km</t>
  </si>
  <si>
    <t>1.41 +0 dB/km</t>
  </si>
  <si>
    <t>1.33 +0 dB/km</t>
  </si>
  <si>
    <t>2.95 +0 dB/km</t>
  </si>
  <si>
    <t>2.23 +0 dB/km</t>
  </si>
  <si>
    <t>2.06 +0 dB/km</t>
  </si>
  <si>
    <t>2.10 +0 dB/km</t>
  </si>
  <si>
    <t>2.19 +0 dB/km</t>
  </si>
  <si>
    <t>2.21 +0 dB/km</t>
  </si>
  <si>
    <t>2.16 +0 dB/km</t>
  </si>
  <si>
    <t>2.08 +0 dB/km</t>
  </si>
  <si>
    <t>2.00 +0 dB/km</t>
  </si>
  <si>
    <t>2.90 +0 dB/km</t>
  </si>
  <si>
    <t>4.25 +0 dB/km</t>
  </si>
  <si>
    <t>2.97 +0 dB/km</t>
  </si>
  <si>
    <t>2.60 +0 dB/km</t>
  </si>
  <si>
    <t>2.52 +0 dB/km</t>
  </si>
  <si>
    <t>2.63 +0 dB/km</t>
  </si>
  <si>
    <t>2.73 +0 dB/km</t>
  </si>
  <si>
    <t>2.79 +0 dB/km</t>
  </si>
  <si>
    <t>2.80 +0 dB/km</t>
  </si>
  <si>
    <t>2.77 +0 dB/km</t>
  </si>
  <si>
    <t>2.71 +0 dB/km</t>
  </si>
  <si>
    <t>6.26 +0 dB/km</t>
  </si>
  <si>
    <t>4.12 +0 dB/km</t>
  </si>
  <si>
    <t>3.39 +0 dB/km</t>
  </si>
  <si>
    <t>3.06 +0 dB/km</t>
  </si>
  <si>
    <t>3.13 +0 dB/km</t>
  </si>
  <si>
    <t>3.27 +0 dB/km</t>
  </si>
  <si>
    <t>3.40 +0 dB/km</t>
  </si>
  <si>
    <t>3.48 +0 dB/km</t>
  </si>
  <si>
    <t>3.52 +0 dB/km</t>
  </si>
  <si>
    <t>3.49 +0 dB/km</t>
  </si>
  <si>
    <t>9.36 +0 dB/km</t>
  </si>
  <si>
    <t>5.92 +0 dB/km</t>
  </si>
  <si>
    <t>4.62 +0 dB/km</t>
  </si>
  <si>
    <t>3.84 +0 dB/km</t>
  </si>
  <si>
    <t>3.77 +0 dB/km</t>
  </si>
  <si>
    <t>3.89 +0 dB/km</t>
  </si>
  <si>
    <t>4.05 +0 dB/km</t>
  </si>
  <si>
    <t>4.19 +0 dB/km</t>
  </si>
  <si>
    <t>4.31 +0 dB/km</t>
  </si>
  <si>
    <t>4.39 +0 dB/km</t>
  </si>
  <si>
    <t>4.43 +0 dB/km</t>
  </si>
  <si>
    <t>8.72 +0 dB/km</t>
  </si>
  <si>
    <t>6.53 +0 dB/km</t>
  </si>
  <si>
    <t>5.01 +0 dB/km</t>
  </si>
  <si>
    <t>4.65 +0 dB/km</t>
  </si>
  <si>
    <t>4.66 +0 dB/km</t>
  </si>
  <si>
    <t>4.80 +0 dB/km</t>
  </si>
  <si>
    <t>4.98 +0 dB/km</t>
  </si>
  <si>
    <t>5.15 +0 dB/km</t>
  </si>
  <si>
    <t>5.30 +0 dB/km</t>
  </si>
  <si>
    <t>5.42 +0 dB/km</t>
  </si>
  <si>
    <t>2.11 +1 dB/km</t>
  </si>
  <si>
    <t>1.31 +1 dB/km</t>
  </si>
  <si>
    <t>9.53 +0 dB/km</t>
  </si>
  <si>
    <t>6.81 +0 dB/km</t>
  </si>
  <si>
    <t>5.97 +0 dB/km</t>
  </si>
  <si>
    <t>5.75 +0 dB/km</t>
  </si>
  <si>
    <t>5.78 +0 dB/km</t>
  </si>
  <si>
    <t>6.10 +0 dB/km</t>
  </si>
  <si>
    <t>6.29 +0 dB/km</t>
  </si>
  <si>
    <t>6.48 +0 dB/km</t>
  </si>
  <si>
    <t>3.13 +1 dB/km</t>
  </si>
  <si>
    <t>1.98 +1 dB/km</t>
  </si>
  <si>
    <t>1.42 +1 dB/km</t>
  </si>
  <si>
    <t>9.63 +0 dB/km</t>
  </si>
  <si>
    <t>8.00 +0 dB/km</t>
  </si>
  <si>
    <t>7.37 +0 dB/km</t>
  </si>
  <si>
    <t>7.17 +0 dB/km</t>
  </si>
  <si>
    <t>7.18 +0 dB/km</t>
  </si>
  <si>
    <t>7.31 +0 dB/km</t>
  </si>
  <si>
    <t>7.48 +0 dB/km</t>
  </si>
  <si>
    <t>7.68 +0 dB/km</t>
  </si>
  <si>
    <t>4.53 +1 dB/km</t>
  </si>
  <si>
    <t>2.99 +1 dB/km</t>
  </si>
  <si>
    <t>2.15 +1 dB/km</t>
  </si>
  <si>
    <t>1.41 +1 dB/km</t>
  </si>
  <si>
    <t>1.12 +1 dB/km</t>
  </si>
  <si>
    <t>9.86 +0 dB/km</t>
  </si>
  <si>
    <t>9.25 +0 dB/km</t>
  </si>
  <si>
    <t>9.02 +0 dB/km</t>
  </si>
  <si>
    <t>8.98 +0 dB/km</t>
  </si>
  <si>
    <t>9.06 +0 dB/km</t>
  </si>
  <si>
    <t>9.21 +0 dB/km</t>
  </si>
  <si>
    <t>6.35 +1 dB/km</t>
  </si>
  <si>
    <t>4.48 +1 dB/km</t>
  </si>
  <si>
    <t>3.26 +1 dB/km</t>
  </si>
  <si>
    <t>2.10 +1 dB/km</t>
  </si>
  <si>
    <t>1.61 +1 dB/km</t>
  </si>
  <si>
    <t>1.37 +1 dB/km</t>
  </si>
  <si>
    <t>1.25 +1 dB/km</t>
  </si>
  <si>
    <t>1.18 +1 dB/km</t>
  </si>
  <si>
    <t>1.15 +1 dB/km</t>
  </si>
  <si>
    <t>1.13 +1 dB/km</t>
  </si>
  <si>
    <t>8.54 +1 dB/km</t>
  </si>
  <si>
    <t>6.62 +1 dB/km</t>
  </si>
  <si>
    <t>4.94 +1 dB/km</t>
  </si>
  <si>
    <t>3.18 +1 dB/km</t>
  </si>
  <si>
    <t>2.39 +1 dB/km</t>
  </si>
  <si>
    <t>1.75 +1 dB/km</t>
  </si>
  <si>
    <t>1.53 +1 dB/km</t>
  </si>
  <si>
    <t>1.48 +1 dB/km</t>
  </si>
  <si>
    <t>1.45 +1 dB/km</t>
  </si>
  <si>
    <t>1.09 +2 dB/km</t>
  </si>
  <si>
    <t>9.51 +1 dB/km</t>
  </si>
  <si>
    <t>7.41 +1 dB/km</t>
  </si>
  <si>
    <t>4.85 +1 dB/km</t>
  </si>
  <si>
    <t>3.61 +1 dB/km</t>
  </si>
  <si>
    <t>2.94 +1 dB/km</t>
  </si>
  <si>
    <t>2.54 +1 dB/km</t>
  </si>
  <si>
    <t>2.29 +1 dB/km</t>
  </si>
  <si>
    <t>2.13 +1 dB/km</t>
  </si>
  <si>
    <t>2.02 +1 dB/km</t>
  </si>
  <si>
    <t>1.94 +1 dB/km</t>
  </si>
  <si>
    <t>1.33 +2 dB/km</t>
  </si>
  <si>
    <t>1.32 +2 dB/km</t>
  </si>
  <si>
    <t>7.39 +1 dB/km</t>
  </si>
  <si>
    <t>5.51 +1 dB/km</t>
  </si>
  <si>
    <t>4.44 +1 dB/km</t>
  </si>
  <si>
    <t>3.79 +1 dB/km</t>
  </si>
  <si>
    <t>3.36 +1 dB/km</t>
  </si>
  <si>
    <t>3.06 +1 dB/km</t>
  </si>
  <si>
    <t>2.86 +1 dB/km</t>
  </si>
  <si>
    <t>2.71 +1 dB/km</t>
  </si>
  <si>
    <t>1.56 +2 dB/km</t>
  </si>
  <si>
    <t>1.75 +2 dB/km</t>
  </si>
  <si>
    <t>1.12 +2 dB/km</t>
  </si>
  <si>
    <t>8.42 +1 dB/km</t>
  </si>
  <si>
    <t>6.78 +1 dB/km</t>
  </si>
  <si>
    <t>5.74 +1 dB/km</t>
  </si>
  <si>
    <t>5.04 +1 dB/km</t>
  </si>
  <si>
    <t>4.54 +1 dB/km</t>
  </si>
  <si>
    <t>4.18 +1 dB/km</t>
  </si>
  <si>
    <t>3.91 +1 dB/km</t>
  </si>
  <si>
    <t>2.21 +2 dB/km</t>
  </si>
  <si>
    <t>2.15 +2 dB/km</t>
  </si>
  <si>
    <t>1.66 +2 dB/km</t>
  </si>
  <si>
    <t>1.28 +2 dB/km</t>
  </si>
  <si>
    <t>1.04 +2 dB/km</t>
  </si>
  <si>
    <t>8.78 +1 dB/km</t>
  </si>
  <si>
    <t>7.66 +1 dB/km</t>
  </si>
  <si>
    <t>6.86 +1 dB/km</t>
  </si>
  <si>
    <t>6.26 +1 dB/km</t>
  </si>
  <si>
    <t>5.81 +1 dB/km</t>
  </si>
  <si>
    <t>1.93 +2 dB/km</t>
  </si>
  <si>
    <t>2.67 +2 dB/km</t>
  </si>
  <si>
    <t>2.84 +2 dB/km</t>
  </si>
  <si>
    <t>2.42 +2 dB/km</t>
  </si>
  <si>
    <t>1.94 +2 dB/km</t>
  </si>
  <si>
    <t>1.59 +2 dB/km</t>
  </si>
  <si>
    <t>1.35 +2 dB/km</t>
  </si>
  <si>
    <t>1.18 +2 dB/km</t>
  </si>
  <si>
    <t>1.05 +2 dB/km</t>
  </si>
  <si>
    <t>9.53 +1 dB/km</t>
  </si>
  <si>
    <t>8.79 +1 dB/km</t>
  </si>
  <si>
    <r>
      <t>Air Attenuation at 20</t>
    </r>
    <r>
      <rPr>
        <sz val="10"/>
        <rFont val="Calibri"/>
        <family val="2"/>
      </rPr>
      <t>°</t>
    </r>
    <r>
      <rPr>
        <sz val="10"/>
        <rFont val="Arial"/>
        <family val="2"/>
      </rPr>
      <t>C  dB/km (ISO9613-11990)</t>
    </r>
  </si>
  <si>
    <r>
      <rPr>
        <sz val="10"/>
        <rFont val="Calibri"/>
        <family val="2"/>
      </rPr>
      <t>⅓</t>
    </r>
    <r>
      <rPr>
        <sz val="10"/>
        <rFont val="Arial"/>
        <family val="2"/>
      </rPr>
      <t xml:space="preserve"> octave band</t>
    </r>
  </si>
  <si>
    <t>Reference - No Weighting</t>
  </si>
  <si>
    <t>CHANGE FROM REFERENCE</t>
  </si>
  <si>
    <t>Material - powder, ore, solids, etc.</t>
  </si>
  <si>
    <t>(GPa)</t>
  </si>
  <si>
    <t>ABS plastics</t>
  </si>
  <si>
    <t>1.4 - 3.1</t>
  </si>
  <si>
    <t>Acetals</t>
  </si>
  <si>
    <t>Acrylic</t>
  </si>
  <si>
    <t>Aluminum Bronze</t>
  </si>
  <si>
    <t>Aramid</t>
  </si>
  <si>
    <t>70 - 112</t>
  </si>
  <si>
    <t>Beryllium (Be)</t>
  </si>
  <si>
    <t> 287</t>
  </si>
  <si>
    <t>Bone, compact</t>
  </si>
  <si>
    <t>Bone, spongy</t>
  </si>
  <si>
    <t>102 - 125</t>
  </si>
  <si>
    <t>Brass, Naval</t>
  </si>
  <si>
    <t>Bronze</t>
  </si>
  <si>
    <t>96 - 120</t>
  </si>
  <si>
    <t>CAB</t>
  </si>
  <si>
    <t>Carbon Fiber Reinforced Plastic</t>
  </si>
  <si>
    <t>Carbon nanotube, single-walled</t>
  </si>
  <si>
    <t>1000+</t>
  </si>
  <si>
    <t>Chlorinated polyether</t>
  </si>
  <si>
    <t>Chlorinated PVC (CPVC)</t>
  </si>
  <si>
    <t>Concrete, High Strength (compression)</t>
  </si>
  <si>
    <t>Diamond (C)</t>
  </si>
  <si>
    <t>Douglas fir Wood</t>
  </si>
  <si>
    <t>Epoxy resins</t>
  </si>
  <si>
    <t>Fiberboard, Medium Density</t>
  </si>
  <si>
    <t>Flax fiber</t>
  </si>
  <si>
    <t>50 - 90</t>
  </si>
  <si>
    <t>Glass reinforced polyester matrix</t>
  </si>
  <si>
    <t> 74</t>
  </si>
  <si>
    <t>Graphene</t>
  </si>
  <si>
    <t>Grey Cast Iron</t>
  </si>
  <si>
    <t>Hemp fiber</t>
  </si>
  <si>
    <t> 210</t>
  </si>
  <si>
    <t>Magnesium metal (Mg)</t>
  </si>
  <si>
    <t>MDF - Medium-density fiberboard</t>
  </si>
  <si>
    <t>Molybdenum (Mo)</t>
  </si>
  <si>
    <t> 329</t>
  </si>
  <si>
    <t>Nickel</t>
  </si>
  <si>
    <t> 170</t>
  </si>
  <si>
    <t>Nylon-6</t>
  </si>
  <si>
    <t>Oak Wood (along grain)</t>
  </si>
  <si>
    <t>Osmium (Os)</t>
  </si>
  <si>
    <t> 550</t>
  </si>
  <si>
    <t>Phosphor Bronze</t>
  </si>
  <si>
    <t>Pine Wood (along grain)</t>
  </si>
  <si>
    <t>Plutonium</t>
  </si>
  <si>
    <t> 97</t>
  </si>
  <si>
    <t>Polybenzoxazole</t>
  </si>
  <si>
    <t>Polycarbonates</t>
  </si>
  <si>
    <t>Polyethylene HDPE (high density)</t>
  </si>
  <si>
    <t>Polyethylene Terephthalate, PET</t>
  </si>
  <si>
    <t>2 - 2.7</t>
  </si>
  <si>
    <t>Polyamide</t>
  </si>
  <si>
    <t>Polymethylmethacrylate (PMMA)</t>
  </si>
  <si>
    <t>2.4 - 3.4</t>
  </si>
  <si>
    <t>Polyimide aromatics</t>
  </si>
  <si>
    <t>Polypropylene, PP</t>
  </si>
  <si>
    <t>1.5 - 2</t>
  </si>
  <si>
    <t>Polystyrene, PS</t>
  </si>
  <si>
    <t>3 - 3.5</t>
  </si>
  <si>
    <t>Polyethylene, LDPE (low density)</t>
  </si>
  <si>
    <t>0.11 - 0.45</t>
  </si>
  <si>
    <t>Polytetrafluoroethylene (PTFE)</t>
  </si>
  <si>
    <t>Polyvinylchloride (PVC)</t>
  </si>
  <si>
    <t>2.4 - 4.1</t>
  </si>
  <si>
    <t>Rubber, small strain</t>
  </si>
  <si>
    <t>0.01 - 0.1</t>
  </si>
  <si>
    <t>Sapphire</t>
  </si>
  <si>
    <t>Silicon</t>
  </si>
  <si>
    <t> 130 - 185</t>
  </si>
  <si>
    <t>Silicon Carbide</t>
  </si>
  <si>
    <t>Steel, stainless AISI 302</t>
  </si>
  <si>
    <t>Steel, Structural ASTM-A36</t>
  </si>
  <si>
    <t>Tin</t>
  </si>
  <si>
    <t>Titanium Alloy</t>
  </si>
  <si>
    <t>105 - 120</t>
  </si>
  <si>
    <t>Tooth enamel</t>
  </si>
  <si>
    <t>Tungsten (W)</t>
  </si>
  <si>
    <t>400 - 410</t>
  </si>
  <si>
    <t>Tungsten Carbide (WC)</t>
  </si>
  <si>
    <t>450 - 650</t>
  </si>
  <si>
    <t>Uranium</t>
  </si>
  <si>
    <t>Wrought Iron</t>
  </si>
  <si>
    <t>190 - 210</t>
  </si>
  <si>
    <t>aluminium</t>
  </si>
  <si>
    <t xml:space="preserve">Ice and Water Shield </t>
  </si>
  <si>
    <t>Gauge No. (AWG)</t>
  </si>
  <si>
    <t>Inches</t>
  </si>
  <si>
    <t>Millimeters</t>
  </si>
  <si>
    <t>Pressure at boundary</t>
  </si>
  <si>
    <r>
      <t>(lb/ft</t>
    </r>
    <r>
      <rPr>
        <vertAlign val="superscript"/>
        <sz val="8"/>
        <rFont val="Arial"/>
        <family val="2"/>
      </rPr>
      <t>2</t>
    </r>
    <r>
      <rPr>
        <sz val="8"/>
        <rFont val="Arial"/>
        <family val="2"/>
      </rPr>
      <t>)</t>
    </r>
  </si>
  <si>
    <r>
      <t>1 ft</t>
    </r>
    <r>
      <rPr>
        <i/>
        <vertAlign val="superscript"/>
        <sz val="7"/>
        <color rgb="FF000000"/>
        <rFont val="Arial"/>
        <family val="2"/>
      </rPr>
      <t>2</t>
    </r>
    <r>
      <rPr>
        <i/>
        <sz val="7"/>
        <color rgb="FF000000"/>
        <rFont val="Arial"/>
        <family val="2"/>
      </rPr>
      <t> = 0.0929 m</t>
    </r>
    <r>
      <rPr>
        <i/>
        <vertAlign val="superscript"/>
        <sz val="7"/>
        <color rgb="FF000000"/>
        <rFont val="Arial"/>
        <family val="2"/>
      </rPr>
      <t>2</t>
    </r>
  </si>
  <si>
    <r>
      <t>(kg/m</t>
    </r>
    <r>
      <rPr>
        <vertAlign val="superscript"/>
        <sz val="8"/>
        <color rgb="FF00B050"/>
        <rFont val="Arial"/>
        <family val="2"/>
      </rPr>
      <t>2</t>
    </r>
    <r>
      <rPr>
        <sz val="8"/>
        <color rgb="FF00B050"/>
        <rFont val="Arial"/>
        <family val="2"/>
      </rPr>
      <t>)</t>
    </r>
  </si>
  <si>
    <t>Ceiling tiles</t>
  </si>
  <si>
    <t>Cold Rolled Steel</t>
  </si>
  <si>
    <t>c based on temp,altitude (in/sec)</t>
  </si>
  <si>
    <t>Temp F</t>
  </si>
  <si>
    <t>Humidity</t>
  </si>
  <si>
    <t>altitude (ft)</t>
  </si>
  <si>
    <t>pascals</t>
  </si>
  <si>
    <t>Density (rho)</t>
  </si>
  <si>
    <t>woofer</t>
  </si>
  <si>
    <t>midrange</t>
  </si>
  <si>
    <t>tweeter</t>
  </si>
  <si>
    <t>direct distance from microphone to front of baffle</t>
  </si>
  <si>
    <t>inches</t>
  </si>
  <si>
    <t>Height to middle of microphone above the floor</t>
  </si>
  <si>
    <t>h2</t>
  </si>
  <si>
    <t>Height to middle of Driver height above the floor</t>
  </si>
  <si>
    <t>h1</t>
  </si>
  <si>
    <t>hz</t>
  </si>
  <si>
    <t>microphone floor distance to floor bounce position</t>
  </si>
  <si>
    <t>b'</t>
  </si>
  <si>
    <t>driver direct distance to floor bounce position</t>
  </si>
  <si>
    <t>c</t>
  </si>
  <si>
    <t>loudspeaker floor distance to floor bounce</t>
  </si>
  <si>
    <t>microphone direct distance to floor bounce position</t>
  </si>
  <si>
    <t>c'</t>
  </si>
  <si>
    <t>center of driver to center of microphone distance</t>
  </si>
  <si>
    <t>d1</t>
  </si>
  <si>
    <t>path length difference between direct and floor bounce</t>
  </si>
  <si>
    <t>ratio b'/b=a'/a=h2/h1</t>
  </si>
  <si>
    <t>v</t>
  </si>
  <si>
    <t>phase difference direct vs reflected (degrees)</t>
  </si>
  <si>
    <t>drgrees</t>
  </si>
  <si>
    <t>phase difference direct vs reflected (radians)</t>
  </si>
  <si>
    <t>radians</t>
  </si>
  <si>
    <t>Frequency of first phase dip (will be at phase=180 degrees)</t>
  </si>
  <si>
    <t>Frequency of first phase peak (will be at phase=360 degrees)</t>
  </si>
  <si>
    <t>woofer/mid</t>
  </si>
  <si>
    <t>mid/tweeter</t>
  </si>
  <si>
    <t>woofer/tweeter</t>
  </si>
  <si>
    <t>Geometric Means of frequency dips between drivers (hertz)</t>
  </si>
  <si>
    <t>Difference in distance to measuring point</t>
  </si>
  <si>
    <t>Phase error in degrees (between drivers)</t>
  </si>
  <si>
    <t>degrees</t>
  </si>
  <si>
    <t>msec useful</t>
  </si>
  <si>
    <t>msec</t>
  </si>
  <si>
    <t>lowest useful frequency</t>
  </si>
  <si>
    <t>c based on temp,altitude (cm/sec)</t>
  </si>
  <si>
    <t>altitude (m)</t>
  </si>
  <si>
    <t>cm</t>
  </si>
  <si>
    <t>rads</t>
  </si>
  <si>
    <t>NEAR FIELD: MIC-DRIVER MAX DISTANCE AND MAX USEFUL FREQUENCY</t>
  </si>
  <si>
    <t>DRIVER RADIUS</t>
  </si>
  <si>
    <t>Max Mic-Driver Distance</t>
  </si>
  <si>
    <t>Maximum Useful Frequency</t>
  </si>
  <si>
    <t>RESONANCE CALCULATOR</t>
  </si>
  <si>
    <t>Resonance</t>
  </si>
  <si>
    <t>DIMENSION IN CM.</t>
  </si>
  <si>
    <t>FREQUENCY</t>
  </si>
  <si>
    <t>DIMENSION IN INCHES</t>
  </si>
  <si>
    <t>ENTER DATA ONLY INTO THE YELLOW CELLS</t>
  </si>
  <si>
    <t>Neoprene Foam</t>
  </si>
  <si>
    <t>1/3 Octave Bands</t>
  </si>
  <si>
    <t>Lower Band Limit</t>
  </si>
  <si>
    <t>(Hz)</t>
  </si>
  <si>
    <t>Center Frequency</t>
  </si>
  <si>
    <t>Upper Band Limit</t>
  </si>
  <si>
    <t>Poly Radius</t>
  </si>
  <si>
    <t>Poly Depth</t>
  </si>
  <si>
    <t>Poly Diameter</t>
  </si>
  <si>
    <t>Slat Diffraction Frequency, both width and gap</t>
  </si>
  <si>
    <t>f</t>
  </si>
  <si>
    <t>DIFFRACTION/SCATTERING @</t>
  </si>
  <si>
    <t>Full</t>
  </si>
  <si>
    <t>1/8 wave</t>
  </si>
  <si>
    <t>1/16 wave</t>
  </si>
  <si>
    <t>Temperature Fahrenheit</t>
  </si>
  <si>
    <t>MAM frequency - calculator</t>
  </si>
  <si>
    <t>INVERSE SQUARE LAW</t>
  </si>
  <si>
    <t>dB Loss</t>
  </si>
  <si>
    <t>Mean Free Time</t>
  </si>
  <si>
    <t>SPL radius1</t>
  </si>
  <si>
    <t>SPL radius2</t>
  </si>
  <si>
    <t>distance at radius1</t>
  </si>
  <si>
    <t>distance at radius2</t>
  </si>
  <si>
    <t>feet or meters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</si>
</sst>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1">
    <numFmt numFmtId="164" formatCode="0.0&quot; Hz&quot;"/>
    <numFmt numFmtId="165" formatCode="0&quot; mm&quot;"/>
    <numFmt numFmtId="166" formatCode="0.00&quot; kg&quot;"/>
    <numFmt numFmtId="167" formatCode="0.00\ &quot;cm&quot;"/>
    <numFmt numFmtId="168" formatCode="0.00\ &quot;kg&quot;"/>
    <numFmt numFmtId="169" formatCode="0.00&quot;kg/m3&quot;"/>
    <numFmt numFmtId="170" formatCode="0.0\ &quot;cm&quot;"/>
    <numFmt numFmtId="171" formatCode="0.0\ &quot;kg/m³&quot;"/>
    <numFmt numFmtId="172" formatCode="0.00\ &quot;lb/ft³&quot;"/>
    <numFmt numFmtId="173" formatCode="0.0000\ &quot;N/mm²&quot;"/>
    <numFmt numFmtId="174" formatCode="0.00\ &quot;kg/m²&quot;"/>
    <numFmt numFmtId="175" formatCode="0.0000\ &quot;kg/mm²&quot;"/>
    <numFmt numFmtId="176" formatCode="0.0\ &quot;mm&quot;"/>
    <numFmt numFmtId="177" formatCode="0.0\ &quot;kg&quot;"/>
    <numFmt numFmtId="178" formatCode="0.0000\ &quot;kg/cm²&quot;"/>
    <numFmt numFmtId="179" formatCode="0\ &quot;mm&quot;"/>
    <numFmt numFmtId="180" formatCode="0\ &quot;Hz&quot;"/>
    <numFmt numFmtId="181" formatCode="0.00\ &quot;in&quot;"/>
    <numFmt numFmtId="182" formatCode="0.00\ &quot;Hz&quot;"/>
    <numFmt numFmtId="183" formatCode="0.00\ &quot;lb/ft²&quot;"/>
    <numFmt numFmtId="184" formatCode="0.0\ &quot;in&quot;"/>
    <numFmt numFmtId="185" formatCode="0.00\ &quot;lbs&quot;"/>
    <numFmt numFmtId="186" formatCode="0.00\ &quot;%&quot;"/>
    <numFmt numFmtId="187" formatCode="0.000\ &quot;in&quot;"/>
    <numFmt numFmtId="188" formatCode="0.00\ &quot;inches&quot;"/>
    <numFmt numFmtId="189" formatCode="0.00\ &quot;dB&quot;"/>
    <numFmt numFmtId="190" formatCode="0.00\ &quot;meters&quot;"/>
    <numFmt numFmtId="191" formatCode="0.00\ &quot;feet&quot;"/>
    <numFmt numFmtId="192" formatCode="0.00\ &quot;meters³&quot;"/>
    <numFmt numFmtId="193" formatCode="0.00\ &quot;feet³&quot;"/>
    <numFmt numFmtId="194" formatCode="0.00\ &quot;m/sec&quot;"/>
    <numFmt numFmtId="195" formatCode="0.00\ &quot;ft/sec&quot;"/>
    <numFmt numFmtId="196" formatCode="0\ &quot;°C&quot;"/>
    <numFmt numFmtId="197" formatCode="0\ &quot;°F&quot;"/>
    <numFmt numFmtId="198" formatCode="0\ &quot;m/sec&quot;"/>
    <numFmt numFmtId="199" formatCode="0.00\ &quot;mks rayls&quot;"/>
    <numFmt numFmtId="200" formatCode="0\ &quot;mks rayls&quot;"/>
    <numFmt numFmtId="201" formatCode="0.00\ &quot;mm&quot;"/>
    <numFmt numFmtId="202" formatCode="0.0000\ &quot;inches&quot;"/>
    <numFmt numFmtId="203" formatCode="0.00\ &quot;centimeters&quot;"/>
    <numFmt numFmtId="204" formatCode="0.00\ &quot;Hz - lowest working frequency&quot;"/>
    <numFmt numFmtId="205" formatCode="0.00\ &quot;ft²&quot;"/>
    <numFmt numFmtId="206" formatCode="0.00\ &quot;m²&quot;"/>
    <numFmt numFmtId="207" formatCode="0.00\ &quot;kg/m³&quot;"/>
    <numFmt numFmtId="208" formatCode="0.00\ &quot;milliimeters&quot;"/>
    <numFmt numFmtId="209" formatCode="0.0E+00"/>
    <numFmt numFmtId="210" formatCode="0.0"/>
    <numFmt numFmtId="211" formatCode="0\ &quot;µPa&quot;"/>
    <numFmt numFmtId="212" formatCode="0.00\ &quot;dB SPL&quot;"/>
    <numFmt numFmtId="213" formatCode="0.00\ &quot;µPa&quot;"/>
    <numFmt numFmtId="214" formatCode="0.00\ &quot;ft or m&quot;"/>
    <numFmt numFmtId="215" formatCode="0.00\ &quot;ft² or m²&quot;"/>
    <numFmt numFmtId="216" formatCode="0.000000000000\ &quot;watts/cm²&quot;"/>
    <numFmt numFmtId="217" formatCode="0.000000000000E+00"/>
    <numFmt numFmtId="218" formatCode="0.00\ &quot;dB IL&quot;"/>
    <numFmt numFmtId="219" formatCode="0.00\ &quot;m³&quot;"/>
    <numFmt numFmtId="220" formatCode="0.00\ &quot;kg/m&quot;"/>
    <numFmt numFmtId="221" formatCode="0.00\ &quot;ft³&quot;"/>
    <numFmt numFmtId="222" formatCode="0.00\ &quot;mS&quot;"/>
    <numFmt numFmtId="223" formatCode="0.0000\ &quot;kg/m2&quot;"/>
    <numFmt numFmtId="224" formatCode="0\ &quot;pF&quot;"/>
    <numFmt numFmtId="225" formatCode="0.00\ &quot;Ohms&quot;"/>
    <numFmt numFmtId="226" formatCode="0.00000\ &quot;lb/ft³&quot;"/>
    <numFmt numFmtId="227" formatCode="0.00\ &quot;m/s&quot;"/>
    <numFmt numFmtId="228" formatCode="0.00\ &quot;ft./s&quot;"/>
    <numFmt numFmtId="229" formatCode="0.000000000\ &quot;S&quot;"/>
    <numFmt numFmtId="230" formatCode="0.00\ &quot;Watts&quot;"/>
    <numFmt numFmtId="231" formatCode="0.00\ &quot;A&quot;"/>
    <numFmt numFmtId="232" formatCode="0.00\ &quot;m/s²&quot;"/>
    <numFmt numFmtId="233" formatCode="0.00\ &quot;N&quot;"/>
    <numFmt numFmtId="234" formatCode="0.00000000&quot;%&quot;"/>
    <numFmt numFmtId="235" formatCode="0.000\ &quot;kg&quot;"/>
    <numFmt numFmtId="236" formatCode="0.0000\ &quot;kg&quot;"/>
    <numFmt numFmtId="237" formatCode="0.0\ &quot;dB&quot;"/>
    <numFmt numFmtId="238" formatCode="0.0\ &quot;ft or m&quot;"/>
    <numFmt numFmtId="239" formatCode="0.0\ &quot;dBA&quot;"/>
    <numFmt numFmtId="240" formatCode="0.0\ &quot;dBC&quot;"/>
    <numFmt numFmtId="241" formatCode="0\ &quot;%&quot;"/>
    <numFmt numFmtId="242" formatCode="0.0\ &quot;Hz&quot;"/>
    <numFmt numFmtId="243" formatCode="0.0000"/>
    <numFmt numFmtId="244" formatCode="0.00\ &quot;Seconds&quot;"/>
  </numFmts>
  <fonts count="113" x14ac:knownFonts="1">
    <font>
      <sz val="10"/>
      <name val="Arial"/>
    </font>
    <font>
      <b/>
      <sz val="20"/>
      <name val="Papyrus"/>
      <family val="4"/>
    </font>
    <font>
      <b/>
      <sz val="10"/>
      <name val="Arial"/>
      <family val="2"/>
    </font>
    <font>
      <i/>
      <sz val="10"/>
      <name val="Arial"/>
      <family val="2"/>
    </font>
    <font>
      <u/>
      <sz val="10"/>
      <color indexed="12"/>
      <name val="Arial"/>
      <family val="2"/>
    </font>
    <font>
      <b/>
      <sz val="12"/>
      <name val="Arial"/>
      <family val="2"/>
    </font>
    <font>
      <b/>
      <sz val="14"/>
      <name val="Arial"/>
      <family val="2"/>
    </font>
    <font>
      <b/>
      <sz val="16"/>
      <name val="Arial"/>
      <family val="2"/>
    </font>
    <font>
      <b/>
      <sz val="14"/>
      <name val="Papyrus"/>
      <family val="4"/>
    </font>
    <font>
      <sz val="14"/>
      <name val="Arial"/>
      <family val="2"/>
    </font>
    <font>
      <sz val="10"/>
      <name val="Arial"/>
      <family val="2"/>
    </font>
    <font>
      <sz val="12"/>
      <name val="Arial"/>
      <family val="2"/>
    </font>
    <font>
      <sz val="8"/>
      <color indexed="81"/>
      <name val="Tahoma"/>
      <family val="2"/>
    </font>
    <font>
      <b/>
      <i/>
      <sz val="10"/>
      <name val="Arial"/>
      <family val="2"/>
    </font>
    <font>
      <sz val="11"/>
      <color rgb="FF000000"/>
      <name val="Arial"/>
      <family val="2"/>
    </font>
    <font>
      <vertAlign val="superscript"/>
      <sz val="11"/>
      <color rgb="FF000000"/>
      <name val="Arial"/>
      <family val="2"/>
    </font>
    <font>
      <vertAlign val="subscript"/>
      <sz val="11"/>
      <color rgb="FF000000"/>
      <name val="Arial"/>
      <family val="2"/>
    </font>
    <font>
      <b/>
      <sz val="10"/>
      <name val="Papyrus"/>
      <family val="4"/>
    </font>
    <font>
      <u/>
      <sz val="8"/>
      <color indexed="8"/>
      <name val="Century Schoolbook"/>
      <family val="1"/>
    </font>
    <font>
      <sz val="8"/>
      <color indexed="8"/>
      <name val="Century Schoolbook"/>
      <family val="1"/>
    </font>
    <font>
      <sz val="12"/>
      <name val="Times New Roman"/>
      <family val="1"/>
    </font>
    <font>
      <b/>
      <sz val="20"/>
      <name val="Arial"/>
      <family val="2"/>
    </font>
    <font>
      <b/>
      <sz val="11"/>
      <color theme="1"/>
      <name val="Calibri"/>
      <family val="2"/>
      <scheme val="minor"/>
    </font>
    <font>
      <b/>
      <sz val="10"/>
      <color rgb="FFFF0000"/>
      <name val="Arial"/>
      <family val="2"/>
    </font>
    <font>
      <b/>
      <sz val="9"/>
      <color rgb="FFFF0000"/>
      <name val="Arial"/>
      <family val="2"/>
    </font>
    <font>
      <vertAlign val="superscript"/>
      <sz val="10"/>
      <name val="Arial"/>
      <family val="2"/>
    </font>
    <font>
      <sz val="10"/>
      <name val="Arial"/>
      <family val="2"/>
    </font>
    <font>
      <b/>
      <sz val="10"/>
      <color rgb="FFFF0000"/>
      <name val="Arial"/>
      <family val="2"/>
    </font>
    <font>
      <b/>
      <sz val="14"/>
      <name val="Arial"/>
      <family val="2"/>
    </font>
    <font>
      <b/>
      <sz val="10"/>
      <name val="Arial"/>
      <family val="2"/>
    </font>
    <font>
      <b/>
      <sz val="16"/>
      <name val="Arial"/>
      <family val="2"/>
    </font>
    <font>
      <b/>
      <sz val="10"/>
      <color theme="1"/>
      <name val="Arial"/>
      <family val="2"/>
    </font>
    <font>
      <sz val="10"/>
      <color theme="1"/>
      <name val="Arial"/>
      <family val="2"/>
    </font>
    <font>
      <b/>
      <sz val="10"/>
      <color indexed="12"/>
      <name val="Arial"/>
      <family val="2"/>
    </font>
    <font>
      <sz val="10"/>
      <name val="Arial"/>
      <family val="2"/>
    </font>
    <font>
      <b/>
      <sz val="10"/>
      <color indexed="14"/>
      <name val="Arial"/>
      <family val="2"/>
    </font>
    <font>
      <u/>
      <sz val="10"/>
      <name val="Arial"/>
      <family val="2"/>
    </font>
    <font>
      <b/>
      <sz val="12"/>
      <color indexed="12"/>
      <name val="Arial"/>
      <family val="2"/>
    </font>
    <font>
      <b/>
      <sz val="12"/>
      <color rgb="FF0000FF"/>
      <name val="Arial"/>
      <family val="2"/>
    </font>
    <font>
      <b/>
      <sz val="12"/>
      <color indexed="14"/>
      <name val="Arial"/>
      <family val="2"/>
    </font>
    <font>
      <b/>
      <sz val="12"/>
      <color rgb="FFFF00FF"/>
      <name val="Arial"/>
      <family val="2"/>
    </font>
    <font>
      <b/>
      <sz val="12"/>
      <color rgb="FFFF0000"/>
      <name val="Arial"/>
      <family val="2"/>
    </font>
    <font>
      <sz val="10"/>
      <color rgb="FF000000"/>
      <name val="Arial"/>
      <family val="2"/>
    </font>
    <font>
      <b/>
      <sz val="12"/>
      <name val="Arial"/>
      <family val="2"/>
    </font>
    <font>
      <b/>
      <sz val="16"/>
      <name val="Papyrus"/>
      <family val="4"/>
    </font>
    <font>
      <b/>
      <sz val="20"/>
      <name val="Papyrus"/>
      <family val="4"/>
    </font>
    <font>
      <b/>
      <sz val="24"/>
      <name val="Papyrus"/>
      <family val="4"/>
    </font>
    <font>
      <sz val="20"/>
      <name val="Papyrus"/>
      <family val="4"/>
    </font>
    <font>
      <sz val="12"/>
      <name val="Arial"/>
      <family val="2"/>
    </font>
    <font>
      <b/>
      <sz val="14"/>
      <name val="Papyrus"/>
      <family val="4"/>
    </font>
    <font>
      <b/>
      <i/>
      <sz val="16"/>
      <name val="Arial"/>
      <family val="2"/>
    </font>
    <font>
      <b/>
      <sz val="14"/>
      <name val="Papyrus"/>
      <family val="4"/>
    </font>
    <font>
      <sz val="10"/>
      <name val="Arial"/>
      <family val="2"/>
    </font>
    <font>
      <u/>
      <sz val="10"/>
      <color indexed="12"/>
      <name val="Arial"/>
      <family val="2"/>
    </font>
    <font>
      <b/>
      <sz val="16"/>
      <name val="Arial"/>
      <family val="2"/>
    </font>
    <font>
      <b/>
      <sz val="10"/>
      <color rgb="FFFF0000"/>
      <name val="Arial"/>
      <family val="2"/>
    </font>
    <font>
      <b/>
      <sz val="20"/>
      <name val="Papyrus"/>
      <family val="4"/>
    </font>
    <font>
      <sz val="10"/>
      <name val="Arial"/>
      <family val="2"/>
    </font>
    <font>
      <b/>
      <sz val="10"/>
      <name val="Arial"/>
      <family val="2"/>
    </font>
    <font>
      <b/>
      <sz val="24"/>
      <name val="Times New Roman"/>
      <family val="1"/>
    </font>
    <font>
      <sz val="12"/>
      <name val="Papyrus"/>
      <family val="4"/>
    </font>
    <font>
      <b/>
      <sz val="12"/>
      <name val="Arial"/>
      <family val="2"/>
    </font>
    <font>
      <sz val="9"/>
      <color rgb="FF000000"/>
      <name val="Arial"/>
      <family val="2"/>
    </font>
    <font>
      <b/>
      <sz val="9"/>
      <color rgb="FF000000"/>
      <name val="Arial"/>
      <family val="2"/>
    </font>
    <font>
      <b/>
      <i/>
      <sz val="9"/>
      <color rgb="FF000000"/>
      <name val="Arial"/>
      <family val="2"/>
    </font>
    <font>
      <b/>
      <i/>
      <vertAlign val="superscript"/>
      <sz val="9"/>
      <color rgb="FF000000"/>
      <name val="Arial"/>
      <family val="2"/>
    </font>
    <font>
      <b/>
      <sz val="12.1"/>
      <color rgb="FF000000"/>
      <name val="Arial"/>
      <family val="2"/>
    </font>
    <font>
      <sz val="8.8000000000000007"/>
      <color rgb="FF000000"/>
      <name val="Arial"/>
      <family val="2"/>
    </font>
    <font>
      <i/>
      <sz val="8.8000000000000007"/>
      <color rgb="FF000000"/>
      <name val="Arial"/>
      <family val="2"/>
    </font>
    <font>
      <b/>
      <sz val="8"/>
      <color rgb="FF000000"/>
      <name val="Arial"/>
      <family val="2"/>
    </font>
    <font>
      <b/>
      <i/>
      <sz val="8"/>
      <color rgb="FF000000"/>
      <name val="Arial"/>
      <family val="2"/>
    </font>
    <font>
      <sz val="8"/>
      <color rgb="FF000000"/>
      <name val="Arial"/>
      <family val="2"/>
    </font>
    <font>
      <i/>
      <sz val="8"/>
      <color rgb="FF000000"/>
      <name val="Arial"/>
      <family val="2"/>
    </font>
    <font>
      <sz val="9"/>
      <name val="Arial"/>
      <family val="2"/>
    </font>
    <font>
      <b/>
      <sz val="18"/>
      <color theme="1"/>
      <name val="Calibri"/>
      <family val="2"/>
      <scheme val="minor"/>
    </font>
    <font>
      <sz val="18"/>
      <color theme="1"/>
      <name val="Arial"/>
      <family val="2"/>
    </font>
    <font>
      <sz val="11"/>
      <color theme="1"/>
      <name val="Arial"/>
      <family val="2"/>
    </font>
    <font>
      <vertAlign val="superscript"/>
      <sz val="11"/>
      <color theme="1"/>
      <name val="Calibri"/>
      <family val="2"/>
      <scheme val="minor"/>
    </font>
    <font>
      <b/>
      <sz val="14"/>
      <color theme="1"/>
      <name val="Calibri"/>
      <family val="2"/>
      <scheme val="minor"/>
    </font>
    <font>
      <sz val="22"/>
      <color theme="1"/>
      <name val="Calibri"/>
      <family val="2"/>
      <scheme val="minor"/>
    </font>
    <font>
      <sz val="8"/>
      <color rgb="FF0000FF"/>
      <name val="Arial"/>
      <family val="2"/>
    </font>
    <font>
      <b/>
      <sz val="8"/>
      <name val="Arial"/>
      <family val="2"/>
    </font>
    <font>
      <sz val="8"/>
      <name val="Arial"/>
      <family val="2"/>
    </font>
    <font>
      <vertAlign val="superscript"/>
      <sz val="8"/>
      <name val="Arial"/>
      <family val="2"/>
    </font>
    <font>
      <i/>
      <sz val="9"/>
      <color rgb="FF000000"/>
      <name val="Arial"/>
      <family val="2"/>
    </font>
    <font>
      <i/>
      <vertAlign val="superscript"/>
      <sz val="9"/>
      <color rgb="FF000000"/>
      <name val="Arial"/>
      <family val="2"/>
    </font>
    <font>
      <sz val="14"/>
      <color theme="1"/>
      <name val="Calibri"/>
      <family val="2"/>
      <scheme val="minor"/>
    </font>
    <font>
      <b/>
      <sz val="11"/>
      <color rgb="FFFF0000"/>
      <name val="Calibri"/>
      <family val="2"/>
      <scheme val="minor"/>
    </font>
    <font>
      <sz val="10"/>
      <name val="Calibri"/>
      <family val="2"/>
    </font>
    <font>
      <i/>
      <sz val="10"/>
      <color rgb="FF000000"/>
      <name val="Arial"/>
      <family val="2"/>
    </font>
    <font>
      <sz val="11"/>
      <name val="Arial"/>
      <family val="2"/>
    </font>
    <font>
      <b/>
      <sz val="11"/>
      <color rgb="FFFFFFFF"/>
      <name val="Arial"/>
      <family val="2"/>
    </font>
    <font>
      <sz val="7"/>
      <color rgb="FF000000"/>
      <name val="Arial"/>
      <family val="2"/>
    </font>
    <font>
      <sz val="8"/>
      <color rgb="FF008000"/>
      <name val="Arial"/>
      <family val="2"/>
    </font>
    <font>
      <i/>
      <sz val="7"/>
      <color rgb="FF000000"/>
      <name val="Arial"/>
      <family val="2"/>
    </font>
    <font>
      <i/>
      <vertAlign val="superscript"/>
      <sz val="7"/>
      <color rgb="FF000000"/>
      <name val="Arial"/>
      <family val="2"/>
    </font>
    <font>
      <b/>
      <sz val="10"/>
      <color rgb="FF000000"/>
      <name val="Arial"/>
      <family val="2"/>
    </font>
    <font>
      <sz val="8"/>
      <color theme="3" tint="-0.249977111117893"/>
      <name val="Arial"/>
      <family val="2"/>
    </font>
    <font>
      <sz val="8"/>
      <color rgb="FF00B050"/>
      <name val="Arial"/>
      <family val="2"/>
    </font>
    <font>
      <vertAlign val="superscript"/>
      <sz val="8"/>
      <color rgb="FF00B050"/>
      <name val="Arial"/>
      <family val="2"/>
    </font>
    <font>
      <b/>
      <sz val="12"/>
      <color indexed="9"/>
      <name val="Arial"/>
      <family val="2"/>
    </font>
    <font>
      <sz val="10"/>
      <color indexed="9"/>
      <name val="Arial"/>
      <family val="2"/>
    </font>
    <font>
      <b/>
      <sz val="10"/>
      <color indexed="9"/>
      <name val="Arial"/>
      <family val="2"/>
    </font>
    <font>
      <b/>
      <sz val="10"/>
      <color indexed="8"/>
      <name val="Arial"/>
      <family val="2"/>
    </font>
    <font>
      <b/>
      <sz val="12"/>
      <color indexed="17"/>
      <name val="Arial"/>
      <family val="2"/>
    </font>
    <font>
      <sz val="12"/>
      <color indexed="17"/>
      <name val="Arial"/>
      <family val="2"/>
    </font>
    <font>
      <b/>
      <sz val="10"/>
      <color indexed="61"/>
      <name val="Arial"/>
      <family val="2"/>
    </font>
    <font>
      <b/>
      <sz val="10"/>
      <color indexed="9"/>
      <name val="Tahoma"/>
      <family val="2"/>
    </font>
    <font>
      <b/>
      <sz val="8"/>
      <color indexed="9"/>
      <name val="Tahoma"/>
      <family val="2"/>
    </font>
    <font>
      <sz val="10"/>
      <color indexed="18"/>
      <name val="Verdana"/>
      <family val="2"/>
    </font>
    <font>
      <b/>
      <sz val="12"/>
      <color indexed="8"/>
      <name val="Arial"/>
      <family val="2"/>
    </font>
    <font>
      <b/>
      <sz val="10"/>
      <color indexed="81"/>
      <name val="Tahoma"/>
      <family val="2"/>
    </font>
    <font>
      <sz val="11"/>
      <color rgb="FFFF0000"/>
      <name val="Calibri"/>
      <family val="2"/>
      <scheme val="minor"/>
    </font>
  </fonts>
  <fills count="29">
    <fill>
      <patternFill patternType="none"/>
    </fill>
    <fill>
      <patternFill patternType="gray125"/>
    </fill>
    <fill>
      <patternFill patternType="solid">
        <fgColor indexed="44"/>
        <bgColor indexed="64"/>
      </patternFill>
    </fill>
    <fill>
      <patternFill patternType="solid">
        <fgColor indexed="41"/>
        <bgColor indexed="64"/>
      </patternFill>
    </fill>
    <fill>
      <patternFill patternType="solid">
        <fgColor indexed="13"/>
        <bgColor indexed="64"/>
      </patternFill>
    </fill>
    <fill>
      <patternFill patternType="solid">
        <fgColor indexed="9"/>
        <bgColor indexed="64"/>
      </patternFill>
    </fill>
    <fill>
      <patternFill patternType="solid">
        <fgColor rgb="FFFFFF00"/>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rgb="FFECEFFF"/>
        <bgColor indexed="64"/>
      </patternFill>
    </fill>
    <fill>
      <patternFill patternType="solid">
        <fgColor theme="2"/>
        <bgColor indexed="64"/>
      </patternFill>
    </fill>
    <fill>
      <patternFill patternType="solid">
        <fgColor rgb="FFFFFFFF"/>
        <bgColor indexed="64"/>
      </patternFill>
    </fill>
    <fill>
      <patternFill patternType="solid">
        <fgColor rgb="FF503291"/>
        <bgColor indexed="64"/>
      </patternFill>
    </fill>
    <fill>
      <patternFill patternType="solid">
        <fgColor rgb="FFF2F2F2"/>
        <bgColor indexed="64"/>
      </patternFill>
    </fill>
    <fill>
      <patternFill patternType="solid">
        <fgColor rgb="FFFFFFCC"/>
        <bgColor indexed="64"/>
      </patternFill>
    </fill>
    <fill>
      <patternFill patternType="solid">
        <fgColor indexed="47"/>
        <bgColor indexed="64"/>
      </patternFill>
    </fill>
    <fill>
      <patternFill patternType="solid">
        <fgColor indexed="12"/>
        <bgColor indexed="64"/>
      </patternFill>
    </fill>
    <fill>
      <patternFill patternType="solid">
        <fgColor indexed="17"/>
        <bgColor indexed="64"/>
      </patternFill>
    </fill>
    <fill>
      <patternFill patternType="solid">
        <fgColor indexed="11"/>
        <bgColor indexed="64"/>
      </patternFill>
    </fill>
    <fill>
      <patternFill patternType="solid">
        <fgColor indexed="42"/>
        <bgColor indexed="64"/>
      </patternFill>
    </fill>
    <fill>
      <patternFill patternType="solid">
        <fgColor indexed="10"/>
        <bgColor indexed="64"/>
      </patternFill>
    </fill>
  </fills>
  <borders count="94">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top/>
      <bottom/>
      <diagonal/>
    </border>
    <border>
      <left style="double">
        <color auto="1"/>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style="double">
        <color auto="1"/>
      </right>
      <top/>
      <bottom style="double">
        <color auto="1"/>
      </bottom>
      <diagonal/>
    </border>
    <border>
      <left/>
      <right/>
      <top style="double">
        <color auto="1"/>
      </top>
      <bottom/>
      <diagonal/>
    </border>
    <border>
      <left/>
      <right/>
      <top/>
      <bottom style="double">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style="medium">
        <color rgb="FFCCCCCC"/>
      </top>
      <bottom/>
      <diagonal/>
    </border>
    <border>
      <left style="medium">
        <color rgb="FFCCCCCC"/>
      </left>
      <right style="medium">
        <color rgb="FFCCCCCC"/>
      </right>
      <top/>
      <bottom style="medium">
        <color rgb="FFCCCCCC"/>
      </bottom>
      <diagonal/>
    </border>
    <border>
      <left style="medium">
        <color rgb="FFC0C0C0"/>
      </left>
      <right style="medium">
        <color rgb="FFCCCCCC"/>
      </right>
      <top style="medium">
        <color rgb="FFC0C0C0"/>
      </top>
      <bottom/>
      <diagonal/>
    </border>
    <border>
      <left style="medium">
        <color rgb="FFC0C0C0"/>
      </left>
      <right style="medium">
        <color rgb="FFCCCCCC"/>
      </right>
      <top/>
      <bottom style="medium">
        <color rgb="FFCCCCCC"/>
      </bottom>
      <diagonal/>
    </border>
    <border>
      <left style="medium">
        <color rgb="FFC0C0C0"/>
      </left>
      <right style="medium">
        <color rgb="FFC0C0C0"/>
      </right>
      <top style="medium">
        <color rgb="FFC0C0C0"/>
      </top>
      <bottom style="medium">
        <color rgb="FFC0C0C0"/>
      </bottom>
      <diagonal/>
    </border>
    <border>
      <left style="medium">
        <color rgb="FFC0C0C0"/>
      </left>
      <right/>
      <top style="medium">
        <color rgb="FFC0C0C0"/>
      </top>
      <bottom style="medium">
        <color rgb="FFC0C0C0"/>
      </bottom>
      <diagonal/>
    </border>
    <border>
      <left/>
      <right style="medium">
        <color rgb="FFC0C0C0"/>
      </right>
      <top style="medium">
        <color rgb="FFC0C0C0"/>
      </top>
      <bottom style="medium">
        <color rgb="FFC0C0C0"/>
      </bottom>
      <diagonal/>
    </border>
    <border>
      <left style="medium">
        <color rgb="FFC0C0C0"/>
      </left>
      <right style="medium">
        <color rgb="FFC0C0C0"/>
      </right>
      <top style="medium">
        <color rgb="FFC0C0C0"/>
      </top>
      <bottom/>
      <diagonal/>
    </border>
    <border>
      <left style="medium">
        <color rgb="FFC0C0C0"/>
      </left>
      <right style="medium">
        <color rgb="FFC0C0C0"/>
      </right>
      <top/>
      <bottom style="medium">
        <color rgb="FFC0C0C0"/>
      </bottom>
      <diagonal/>
    </border>
    <border>
      <left style="medium">
        <color rgb="FFC0C0C0"/>
      </left>
      <right/>
      <top style="medium">
        <color rgb="FFC0C0C0"/>
      </top>
      <bottom/>
      <diagonal/>
    </border>
    <border>
      <left/>
      <right/>
      <top style="medium">
        <color rgb="FFC0C0C0"/>
      </top>
      <bottom/>
      <diagonal/>
    </border>
    <border>
      <left/>
      <right style="medium">
        <color rgb="FFC0C0C0"/>
      </right>
      <top style="medium">
        <color rgb="FFC0C0C0"/>
      </top>
      <bottom/>
      <diagonal/>
    </border>
    <border>
      <left style="medium">
        <color rgb="FFC0C0C0"/>
      </left>
      <right/>
      <top/>
      <bottom style="medium">
        <color rgb="FFC0C0C0"/>
      </bottom>
      <diagonal/>
    </border>
    <border>
      <left/>
      <right/>
      <top/>
      <bottom style="medium">
        <color rgb="FFC0C0C0"/>
      </bottom>
      <diagonal/>
    </border>
    <border>
      <left/>
      <right style="medium">
        <color rgb="FFC0C0C0"/>
      </right>
      <top/>
      <bottom style="medium">
        <color rgb="FFC0C0C0"/>
      </bottom>
      <diagonal/>
    </border>
    <border>
      <left style="medium">
        <color rgb="FFC0C0C0"/>
      </left>
      <right style="medium">
        <color rgb="FFCCCCCC"/>
      </right>
      <top style="medium">
        <color rgb="FFCCCCCC"/>
      </top>
      <bottom style="medium">
        <color rgb="FFCCCCCC"/>
      </bottom>
      <diagonal/>
    </border>
    <border>
      <left style="medium">
        <color rgb="FFCCCCCC"/>
      </left>
      <right style="medium">
        <color rgb="FFC0C0C0"/>
      </right>
      <top style="medium">
        <color rgb="FFCCCCCC"/>
      </top>
      <bottom style="medium">
        <color rgb="FFCCCCCC"/>
      </bottom>
      <diagonal/>
    </border>
    <border>
      <left style="medium">
        <color rgb="FFC0C0C0"/>
      </left>
      <right style="medium">
        <color rgb="FFCCCCCC"/>
      </right>
      <top style="medium">
        <color rgb="FFCCCCCC"/>
      </top>
      <bottom style="medium">
        <color rgb="FFC0C0C0"/>
      </bottom>
      <diagonal/>
    </border>
    <border>
      <left style="medium">
        <color rgb="FFCCCCCC"/>
      </left>
      <right style="medium">
        <color rgb="FFCCCCCC"/>
      </right>
      <top style="medium">
        <color rgb="FFCCCCCC"/>
      </top>
      <bottom style="medium">
        <color rgb="FFC0C0C0"/>
      </bottom>
      <diagonal/>
    </border>
    <border>
      <left style="medium">
        <color rgb="FFCCCCCC"/>
      </left>
      <right style="medium">
        <color rgb="FFC0C0C0"/>
      </right>
      <top style="medium">
        <color rgb="FFCCCCCC"/>
      </top>
      <bottom style="medium">
        <color rgb="FFC0C0C0"/>
      </bottom>
      <diagonal/>
    </border>
    <border>
      <left style="medium">
        <color rgb="FFCCCCCC"/>
      </left>
      <right style="medium">
        <color rgb="FFC0C0C0"/>
      </right>
      <top style="medium">
        <color rgb="FFC0C0C0"/>
      </top>
      <bottom/>
      <diagonal/>
    </border>
    <border>
      <left style="medium">
        <color rgb="FFCCCCCC"/>
      </left>
      <right style="medium">
        <color rgb="FFC0C0C0"/>
      </right>
      <top/>
      <bottom style="medium">
        <color rgb="FFCCCCCC"/>
      </bottom>
      <diagonal/>
    </border>
    <border>
      <left style="medium">
        <color rgb="FFC0C0C0"/>
      </left>
      <right style="medium">
        <color rgb="FFC0C0C0"/>
      </right>
      <top/>
      <bottom/>
      <diagonal/>
    </border>
    <border>
      <left style="medium">
        <color rgb="FFCCCCCC"/>
      </left>
      <right style="medium">
        <color rgb="FFC0C0C0"/>
      </right>
      <top style="medium">
        <color rgb="FFCCCCCC"/>
      </top>
      <bottom/>
      <diagonal/>
    </border>
    <border>
      <left style="medium">
        <color rgb="FFC0C0C0"/>
      </left>
      <right style="medium">
        <color rgb="FFCCCCCC"/>
      </right>
      <top style="medium">
        <color rgb="FFCCCCCC"/>
      </top>
      <bottom/>
      <diagonal/>
    </border>
    <border>
      <left style="medium">
        <color rgb="FFCCCCCC"/>
      </left>
      <right style="medium">
        <color rgb="FFCCCCCC"/>
      </right>
      <top style="medium">
        <color rgb="FFC0C0C0"/>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medium">
        <color rgb="FFC0C0C0"/>
      </left>
      <right style="medium">
        <color rgb="FFCCCCCC"/>
      </right>
      <top/>
      <bottom style="medium">
        <color rgb="FFC0C0C0"/>
      </bottom>
      <diagonal/>
    </border>
    <border>
      <left style="medium">
        <color rgb="FFCCCCCC"/>
      </left>
      <right style="medium">
        <color rgb="FFCCCCCC"/>
      </right>
      <top/>
      <bottom style="medium">
        <color rgb="FFC0C0C0"/>
      </bottom>
      <diagonal/>
    </border>
    <border>
      <left style="medium">
        <color rgb="FFCCCCCC"/>
      </left>
      <right style="medium">
        <color rgb="FFC0C0C0"/>
      </right>
      <top/>
      <bottom style="medium">
        <color rgb="FFC0C0C0"/>
      </bottom>
      <diagonal/>
    </border>
    <border>
      <left style="medium">
        <color rgb="FFC0C0C0"/>
      </left>
      <right style="medium">
        <color rgb="FFCCCCCC"/>
      </right>
      <top/>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s>
  <cellStyleXfs count="2">
    <xf numFmtId="0" fontId="0" fillId="0" borderId="0"/>
    <xf numFmtId="0" fontId="4" fillId="0" borderId="0" applyNumberFormat="0" applyFill="0" applyBorder="0" applyAlignment="0" applyProtection="0">
      <alignment vertical="top"/>
      <protection locked="0"/>
    </xf>
  </cellStyleXfs>
  <cellXfs count="1084">
    <xf numFmtId="0" fontId="0" fillId="0" borderId="0" xfId="0"/>
    <xf numFmtId="2" fontId="0" fillId="0" borderId="0" xfId="0" applyNumberFormat="1"/>
    <xf numFmtId="0" fontId="5" fillId="0" borderId="0" xfId="0" applyFont="1" applyAlignment="1">
      <alignment horizontal="center"/>
    </xf>
    <xf numFmtId="0" fontId="0" fillId="0" borderId="0" xfId="0" applyAlignment="1">
      <alignment horizontal="center"/>
    </xf>
    <xf numFmtId="0" fontId="0" fillId="0" borderId="0" xfId="0" applyAlignment="1">
      <alignment horizontal="right"/>
    </xf>
    <xf numFmtId="0" fontId="0" fillId="0" borderId="10" xfId="0" applyBorder="1"/>
    <xf numFmtId="0" fontId="0" fillId="0" borderId="11" xfId="0" applyBorder="1"/>
    <xf numFmtId="0" fontId="0" fillId="0" borderId="12" xfId="0" applyBorder="1"/>
    <xf numFmtId="0" fontId="0" fillId="0" borderId="13" xfId="0" applyBorder="1"/>
    <xf numFmtId="0" fontId="0" fillId="0" borderId="15" xfId="0" applyBorder="1"/>
    <xf numFmtId="0" fontId="0" fillId="0" borderId="17" xfId="0" applyBorder="1"/>
    <xf numFmtId="0" fontId="10" fillId="0" borderId="0" xfId="0" applyFont="1"/>
    <xf numFmtId="0" fontId="5" fillId="0" borderId="0" xfId="0" applyFont="1"/>
    <xf numFmtId="0" fontId="11" fillId="0" borderId="0" xfId="0" applyFont="1"/>
    <xf numFmtId="0" fontId="2" fillId="0" borderId="3" xfId="0" applyFont="1" applyBorder="1" applyAlignment="1">
      <alignment horizontal="center"/>
    </xf>
    <xf numFmtId="168" fontId="0" fillId="6" borderId="3" xfId="0" applyNumberFormat="1" applyFill="1" applyBorder="1"/>
    <xf numFmtId="0" fontId="2" fillId="0" borderId="20" xfId="0" applyFont="1" applyBorder="1" applyAlignment="1">
      <alignment horizontal="center"/>
    </xf>
    <xf numFmtId="0" fontId="10" fillId="0" borderId="20" xfId="0" applyFont="1" applyBorder="1"/>
    <xf numFmtId="185" fontId="0" fillId="6" borderId="3" xfId="0" applyNumberFormat="1" applyFill="1" applyBorder="1"/>
    <xf numFmtId="179" fontId="0" fillId="6" borderId="3" xfId="0" applyNumberFormat="1" applyFill="1" applyBorder="1"/>
    <xf numFmtId="0" fontId="10" fillId="0" borderId="20" xfId="0" applyFont="1" applyBorder="1" applyAlignment="1">
      <alignment horizontal="right"/>
    </xf>
    <xf numFmtId="189" fontId="0" fillId="0" borderId="0" xfId="0" applyNumberFormat="1"/>
    <xf numFmtId="0" fontId="0" fillId="0" borderId="22" xfId="0" applyBorder="1"/>
    <xf numFmtId="188" fontId="0" fillId="4" borderId="23" xfId="0" applyNumberFormat="1" applyFill="1" applyBorder="1" applyProtection="1">
      <protection locked="0"/>
    </xf>
    <xf numFmtId="196" fontId="0" fillId="6" borderId="3" xfId="0" applyNumberFormat="1" applyFill="1" applyBorder="1"/>
    <xf numFmtId="0" fontId="10" fillId="0" borderId="22" xfId="0" applyFont="1" applyBorder="1"/>
    <xf numFmtId="0" fontId="0" fillId="0" borderId="20" xfId="0" applyBorder="1"/>
    <xf numFmtId="0" fontId="14" fillId="0" borderId="0" xfId="0" applyFont="1" applyAlignment="1">
      <alignment horizontal="left" vertical="center" indent="1"/>
    </xf>
    <xf numFmtId="0" fontId="0" fillId="0" borderId="3" xfId="0" applyBorder="1"/>
    <xf numFmtId="0" fontId="2" fillId="0" borderId="21" xfId="0" applyFont="1" applyBorder="1" applyAlignment="1">
      <alignment horizontal="center"/>
    </xf>
    <xf numFmtId="0" fontId="0" fillId="0" borderId="0" xfId="0" applyAlignment="1">
      <alignment vertical="center"/>
    </xf>
    <xf numFmtId="0" fontId="0" fillId="0" borderId="15" xfId="0" applyBorder="1" applyAlignment="1">
      <alignment vertical="center"/>
    </xf>
    <xf numFmtId="0" fontId="0" fillId="0" borderId="10" xfId="0" applyBorder="1" applyAlignment="1">
      <alignment vertical="center"/>
    </xf>
    <xf numFmtId="0" fontId="0" fillId="0" borderId="11" xfId="0" applyBorder="1" applyAlignment="1">
      <alignment vertical="center"/>
    </xf>
    <xf numFmtId="0" fontId="0" fillId="0" borderId="12"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2" fillId="0" borderId="0" xfId="0" applyFont="1" applyAlignment="1">
      <alignment vertical="center"/>
    </xf>
    <xf numFmtId="0" fontId="10" fillId="0" borderId="0" xfId="0" applyFont="1" applyAlignment="1">
      <alignment vertical="center"/>
    </xf>
    <xf numFmtId="0" fontId="0" fillId="0" borderId="16" xfId="0" applyBorder="1" applyAlignment="1">
      <alignment vertical="center"/>
    </xf>
    <xf numFmtId="0" fontId="0" fillId="0" borderId="17" xfId="0" applyBorder="1" applyAlignment="1">
      <alignment vertical="center"/>
    </xf>
    <xf numFmtId="0" fontId="0" fillId="0" borderId="0" xfId="0" applyAlignment="1">
      <alignment horizontal="center" vertical="center"/>
    </xf>
    <xf numFmtId="0" fontId="0" fillId="16" borderId="0" xfId="0" applyFill="1" applyAlignment="1">
      <alignment vertical="center"/>
    </xf>
    <xf numFmtId="0" fontId="10" fillId="0" borderId="0" xfId="0" applyFont="1" applyAlignment="1">
      <alignment horizontal="center" vertical="center"/>
    </xf>
    <xf numFmtId="2" fontId="0" fillId="0" borderId="3" xfId="0" applyNumberFormat="1" applyBorder="1" applyAlignment="1">
      <alignment vertical="center"/>
    </xf>
    <xf numFmtId="0" fontId="10" fillId="0" borderId="3" xfId="0" applyFont="1" applyBorder="1" applyAlignment="1">
      <alignment horizontal="center" vertical="center"/>
    </xf>
    <xf numFmtId="0" fontId="10" fillId="0" borderId="3" xfId="0" applyFont="1" applyBorder="1" applyAlignment="1">
      <alignment horizontal="right"/>
    </xf>
    <xf numFmtId="0" fontId="0" fillId="0" borderId="23" xfId="0" applyBorder="1"/>
    <xf numFmtId="185" fontId="0" fillId="0" borderId="3" xfId="0" applyNumberFormat="1" applyBorder="1"/>
    <xf numFmtId="0" fontId="0" fillId="0" borderId="21" xfId="0" applyBorder="1"/>
    <xf numFmtId="188" fontId="0" fillId="0" borderId="3" xfId="0" applyNumberFormat="1" applyBorder="1"/>
    <xf numFmtId="170" fontId="0" fillId="0" borderId="3" xfId="0" applyNumberFormat="1" applyBorder="1"/>
    <xf numFmtId="164" fontId="0" fillId="0" borderId="3" xfId="0" applyNumberFormat="1" applyBorder="1"/>
    <xf numFmtId="170" fontId="0" fillId="4" borderId="23" xfId="0" applyNumberFormat="1" applyFill="1" applyBorder="1" applyProtection="1">
      <protection locked="0"/>
    </xf>
    <xf numFmtId="0" fontId="1" fillId="0" borderId="0" xfId="0" applyFont="1"/>
    <xf numFmtId="182" fontId="0" fillId="4" borderId="20" xfId="0" applyNumberFormat="1" applyFill="1" applyBorder="1" applyProtection="1">
      <protection locked="0"/>
    </xf>
    <xf numFmtId="191" fontId="0" fillId="0" borderId="20" xfId="0" applyNumberFormat="1" applyBorder="1"/>
    <xf numFmtId="181" fontId="0" fillId="0" borderId="21" xfId="0" applyNumberFormat="1" applyBorder="1"/>
    <xf numFmtId="190" fontId="0" fillId="0" borderId="20" xfId="0" applyNumberFormat="1" applyBorder="1"/>
    <xf numFmtId="165" fontId="0" fillId="0" borderId="21" xfId="0" applyNumberFormat="1" applyBorder="1"/>
    <xf numFmtId="2" fontId="0" fillId="0" borderId="21" xfId="0" applyNumberFormat="1" applyBorder="1"/>
    <xf numFmtId="182" fontId="2" fillId="0" borderId="24" xfId="0" applyNumberFormat="1" applyFont="1" applyBorder="1"/>
    <xf numFmtId="0" fontId="1" fillId="0" borderId="27" xfId="0" applyFont="1" applyBorder="1"/>
    <xf numFmtId="2" fontId="0" fillId="0" borderId="3" xfId="0" applyNumberFormat="1" applyBorder="1" applyAlignment="1">
      <alignment horizontal="center" wrapText="1"/>
    </xf>
    <xf numFmtId="167" fontId="0" fillId="6" borderId="3" xfId="0" applyNumberFormat="1" applyFill="1" applyBorder="1" applyProtection="1">
      <protection locked="0"/>
    </xf>
    <xf numFmtId="0" fontId="0" fillId="0" borderId="3" xfId="0" applyBorder="1" applyAlignment="1">
      <alignment horizontal="right"/>
    </xf>
    <xf numFmtId="2" fontId="0" fillId="0" borderId="3" xfId="0" applyNumberFormat="1" applyBorder="1"/>
    <xf numFmtId="2" fontId="0" fillId="0" borderId="21" xfId="0" applyNumberFormat="1" applyBorder="1" applyAlignment="1">
      <alignment horizontal="center" wrapText="1"/>
    </xf>
    <xf numFmtId="181" fontId="0" fillId="6" borderId="21" xfId="0" applyNumberFormat="1" applyFill="1" applyBorder="1" applyProtection="1">
      <protection locked="0"/>
    </xf>
    <xf numFmtId="0" fontId="0" fillId="0" borderId="20" xfId="0" applyBorder="1" applyAlignment="1">
      <alignment horizontal="right"/>
    </xf>
    <xf numFmtId="167" fontId="0" fillId="0" borderId="23" xfId="0" applyNumberFormat="1" applyBorder="1"/>
    <xf numFmtId="181" fontId="0" fillId="0" borderId="24" xfId="0" applyNumberFormat="1" applyBorder="1"/>
    <xf numFmtId="188" fontId="0" fillId="0" borderId="21" xfId="0" applyNumberFormat="1" applyBorder="1"/>
    <xf numFmtId="190" fontId="0" fillId="0" borderId="22" xfId="0" applyNumberFormat="1" applyBorder="1"/>
    <xf numFmtId="208" fontId="0" fillId="0" borderId="24" xfId="0" applyNumberFormat="1" applyBorder="1"/>
    <xf numFmtId="188" fontId="0" fillId="4" borderId="20" xfId="0" applyNumberFormat="1" applyFill="1" applyBorder="1" applyProtection="1">
      <protection locked="0"/>
    </xf>
    <xf numFmtId="182" fontId="2" fillId="0" borderId="21" xfId="0" applyNumberFormat="1" applyFont="1" applyBorder="1"/>
    <xf numFmtId="203" fontId="0" fillId="4" borderId="22" xfId="0" applyNumberFormat="1" applyFill="1" applyBorder="1" applyProtection="1">
      <protection locked="0"/>
    </xf>
    <xf numFmtId="0" fontId="6" fillId="0" borderId="14" xfId="0" applyFont="1" applyBorder="1" applyAlignment="1">
      <alignment vertical="center"/>
    </xf>
    <xf numFmtId="0" fontId="9" fillId="0" borderId="0" xfId="0" applyFont="1" applyAlignment="1">
      <alignment vertical="center"/>
    </xf>
    <xf numFmtId="0" fontId="6" fillId="0" borderId="12" xfId="0" applyFont="1" applyBorder="1" applyAlignment="1">
      <alignment vertical="center"/>
    </xf>
    <xf numFmtId="0" fontId="0" fillId="6" borderId="3" xfId="0" applyFill="1" applyBorder="1" applyAlignment="1">
      <alignment vertical="center"/>
    </xf>
    <xf numFmtId="0" fontId="10" fillId="0" borderId="20" xfId="0" applyFont="1" applyBorder="1" applyAlignment="1">
      <alignment horizontal="center" vertical="center"/>
    </xf>
    <xf numFmtId="0" fontId="10" fillId="0" borderId="21" xfId="0" applyFont="1" applyBorder="1" applyAlignment="1">
      <alignment vertical="center"/>
    </xf>
    <xf numFmtId="189" fontId="10" fillId="0" borderId="21" xfId="0" applyNumberFormat="1" applyFont="1" applyBorder="1" applyAlignment="1">
      <alignment vertical="center"/>
    </xf>
    <xf numFmtId="0" fontId="10" fillId="0" borderId="22" xfId="0" applyFont="1" applyBorder="1" applyAlignment="1">
      <alignment horizontal="center" vertical="center"/>
    </xf>
    <xf numFmtId="189" fontId="10" fillId="0" borderId="24" xfId="0" applyNumberFormat="1" applyFont="1" applyBorder="1" applyAlignment="1">
      <alignment vertical="center"/>
    </xf>
    <xf numFmtId="0" fontId="11" fillId="0" borderId="0" xfId="0" applyFont="1" applyAlignment="1">
      <alignment horizontal="center"/>
    </xf>
    <xf numFmtId="0" fontId="11" fillId="0" borderId="17" xfId="0" applyFont="1" applyBorder="1"/>
    <xf numFmtId="0" fontId="11" fillId="0" borderId="0" xfId="0" applyFont="1" applyAlignment="1">
      <alignment horizontal="left"/>
    </xf>
    <xf numFmtId="0" fontId="18" fillId="0" borderId="0" xfId="0" applyFont="1" applyAlignment="1">
      <alignment horizontal="justify"/>
    </xf>
    <xf numFmtId="0" fontId="19" fillId="0" borderId="0" xfId="0" applyFont="1" applyAlignment="1">
      <alignment horizontal="justify"/>
    </xf>
    <xf numFmtId="0" fontId="0" fillId="0" borderId="3" xfId="0" applyBorder="1" applyAlignment="1">
      <alignment horizontal="center"/>
    </xf>
    <xf numFmtId="0" fontId="0" fillId="0" borderId="23" xfId="0" applyBorder="1" applyAlignment="1">
      <alignment horizontal="center"/>
    </xf>
    <xf numFmtId="0" fontId="0" fillId="8" borderId="3" xfId="0" applyFill="1" applyBorder="1" applyAlignment="1">
      <alignment horizontal="center"/>
    </xf>
    <xf numFmtId="164" fontId="0" fillId="6" borderId="3" xfId="0" applyNumberFormat="1" applyFill="1" applyBorder="1" applyAlignment="1">
      <alignment horizontal="center"/>
    </xf>
    <xf numFmtId="189" fontId="0" fillId="6" borderId="3" xfId="0" applyNumberFormat="1" applyFill="1" applyBorder="1" applyAlignment="1">
      <alignment horizontal="center"/>
    </xf>
    <xf numFmtId="189" fontId="0" fillId="8" borderId="3" xfId="0" applyNumberFormat="1" applyFill="1" applyBorder="1" applyAlignment="1">
      <alignment horizontal="center"/>
    </xf>
    <xf numFmtId="189" fontId="0" fillId="8" borderId="23" xfId="0" applyNumberFormat="1" applyFill="1" applyBorder="1" applyAlignment="1">
      <alignment horizontal="center"/>
    </xf>
    <xf numFmtId="0" fontId="0" fillId="8" borderId="37" xfId="0" applyFill="1" applyBorder="1" applyAlignment="1">
      <alignment horizontal="center"/>
    </xf>
    <xf numFmtId="0" fontId="0" fillId="8" borderId="38" xfId="0" applyFill="1" applyBorder="1" applyAlignment="1">
      <alignment horizontal="center"/>
    </xf>
    <xf numFmtId="0" fontId="0" fillId="8" borderId="39" xfId="0" applyFill="1" applyBorder="1" applyAlignment="1">
      <alignment horizontal="center"/>
    </xf>
    <xf numFmtId="0" fontId="11" fillId="0" borderId="3" xfId="0" applyFont="1" applyBorder="1" applyAlignment="1">
      <alignment horizontal="center"/>
    </xf>
    <xf numFmtId="210" fontId="11" fillId="0" borderId="3" xfId="0" applyNumberFormat="1" applyFont="1" applyBorder="1" applyAlignment="1">
      <alignment horizontal="center"/>
    </xf>
    <xf numFmtId="0" fontId="11" fillId="0" borderId="26" xfId="0" applyFont="1" applyBorder="1" applyAlignment="1">
      <alignment horizontal="center"/>
    </xf>
    <xf numFmtId="0" fontId="11" fillId="0" borderId="25" xfId="0" applyFont="1" applyBorder="1" applyAlignment="1">
      <alignment horizontal="center"/>
    </xf>
    <xf numFmtId="0" fontId="11" fillId="0" borderId="27" xfId="0" applyFont="1" applyBorder="1" applyAlignment="1">
      <alignment horizontal="center"/>
    </xf>
    <xf numFmtId="0" fontId="11" fillId="0" borderId="20" xfId="0" applyFont="1" applyBorder="1" applyAlignment="1">
      <alignment horizontal="center"/>
    </xf>
    <xf numFmtId="0" fontId="11" fillId="0" borderId="21" xfId="0" applyFont="1" applyBorder="1" applyAlignment="1">
      <alignment horizontal="center"/>
    </xf>
    <xf numFmtId="0" fontId="11" fillId="0" borderId="22" xfId="0" applyFont="1" applyBorder="1" applyAlignment="1">
      <alignment horizontal="center"/>
    </xf>
    <xf numFmtId="210" fontId="11" fillId="0" borderId="23" xfId="0" applyNumberFormat="1" applyFont="1" applyBorder="1" applyAlignment="1">
      <alignment horizontal="center"/>
    </xf>
    <xf numFmtId="0" fontId="11" fillId="0" borderId="24" xfId="0" applyFont="1" applyBorder="1" applyAlignment="1">
      <alignment horizontal="center"/>
    </xf>
    <xf numFmtId="0" fontId="11" fillId="16" borderId="20" xfId="0" applyFont="1" applyFill="1" applyBorder="1" applyAlignment="1">
      <alignment horizontal="right"/>
    </xf>
    <xf numFmtId="0" fontId="11" fillId="6" borderId="21" xfId="0" applyFont="1" applyFill="1" applyBorder="1" applyAlignment="1">
      <alignment horizontal="center"/>
    </xf>
    <xf numFmtId="0" fontId="11" fillId="16" borderId="20" xfId="0" applyFont="1" applyFill="1" applyBorder="1" applyAlignment="1">
      <alignment horizontal="center"/>
    </xf>
    <xf numFmtId="0" fontId="11" fillId="16" borderId="22" xfId="0" applyFont="1" applyFill="1" applyBorder="1" applyAlignment="1">
      <alignment horizontal="right"/>
    </xf>
    <xf numFmtId="0" fontId="11" fillId="16" borderId="24" xfId="0" applyFont="1" applyFill="1" applyBorder="1" applyAlignment="1">
      <alignment horizontal="center"/>
    </xf>
    <xf numFmtId="0" fontId="11" fillId="16" borderId="0" xfId="0" applyFont="1" applyFill="1"/>
    <xf numFmtId="0" fontId="11" fillId="16" borderId="22" xfId="0" applyFont="1" applyFill="1" applyBorder="1" applyAlignment="1">
      <alignment horizontal="center"/>
    </xf>
    <xf numFmtId="11" fontId="11" fillId="0" borderId="0" xfId="0" applyNumberFormat="1" applyFont="1"/>
    <xf numFmtId="0" fontId="11" fillId="6" borderId="0" xfId="0" applyFont="1" applyFill="1" applyAlignment="1">
      <alignment horizontal="center"/>
    </xf>
    <xf numFmtId="0" fontId="11" fillId="16" borderId="0" xfId="0" applyFont="1" applyFill="1" applyAlignment="1">
      <alignment horizontal="center"/>
    </xf>
    <xf numFmtId="0" fontId="11" fillId="16" borderId="0" xfId="0" applyFont="1" applyFill="1" applyAlignment="1">
      <alignment horizontal="left"/>
    </xf>
    <xf numFmtId="2" fontId="11" fillId="16" borderId="0" xfId="0" applyNumberFormat="1" applyFont="1" applyFill="1" applyAlignment="1">
      <alignment horizontal="center"/>
    </xf>
    <xf numFmtId="0" fontId="20" fillId="0" borderId="0" xfId="0" applyFont="1" applyAlignment="1">
      <alignment horizontal="center"/>
    </xf>
    <xf numFmtId="0" fontId="11" fillId="16" borderId="3" xfId="0" applyFont="1" applyFill="1" applyBorder="1" applyAlignment="1">
      <alignment horizontal="center"/>
    </xf>
    <xf numFmtId="0" fontId="11" fillId="16" borderId="3" xfId="0" applyFont="1" applyFill="1" applyBorder="1" applyAlignment="1">
      <alignment horizontal="left"/>
    </xf>
    <xf numFmtId="0" fontId="11" fillId="16" borderId="3" xfId="0" applyFont="1" applyFill="1" applyBorder="1" applyAlignment="1">
      <alignment horizontal="right"/>
    </xf>
    <xf numFmtId="212" fontId="11" fillId="16" borderId="3" xfId="0" applyNumberFormat="1" applyFont="1" applyFill="1" applyBorder="1" applyAlignment="1">
      <alignment horizontal="center"/>
    </xf>
    <xf numFmtId="213" fontId="11" fillId="6" borderId="3" xfId="0" applyNumberFormat="1" applyFont="1" applyFill="1" applyBorder="1" applyAlignment="1">
      <alignment horizontal="center"/>
    </xf>
    <xf numFmtId="212" fontId="11" fillId="6" borderId="3" xfId="0" applyNumberFormat="1" applyFont="1" applyFill="1" applyBorder="1" applyAlignment="1">
      <alignment horizontal="center"/>
    </xf>
    <xf numFmtId="189" fontId="11" fillId="16" borderId="3" xfId="0" applyNumberFormat="1" applyFont="1" applyFill="1" applyBorder="1" applyAlignment="1">
      <alignment horizontal="center"/>
    </xf>
    <xf numFmtId="213" fontId="11" fillId="16" borderId="3" xfId="0" applyNumberFormat="1" applyFont="1" applyFill="1" applyBorder="1" applyAlignment="1">
      <alignment horizontal="center"/>
    </xf>
    <xf numFmtId="2" fontId="11" fillId="6" borderId="0" xfId="0" applyNumberFormat="1" applyFont="1" applyFill="1" applyAlignment="1">
      <alignment horizontal="center"/>
    </xf>
    <xf numFmtId="209" fontId="11" fillId="16" borderId="0" xfId="0" applyNumberFormat="1" applyFont="1" applyFill="1" applyAlignment="1">
      <alignment horizontal="center"/>
    </xf>
    <xf numFmtId="0" fontId="11" fillId="0" borderId="15" xfId="0" applyFont="1" applyBorder="1"/>
    <xf numFmtId="0" fontId="11" fillId="0" borderId="10" xfId="0" applyFont="1" applyBorder="1"/>
    <xf numFmtId="0" fontId="11" fillId="0" borderId="20" xfId="0" applyFont="1" applyBorder="1" applyAlignment="1">
      <alignment horizontal="right"/>
    </xf>
    <xf numFmtId="0" fontId="11" fillId="0" borderId="21" xfId="0" applyFont="1" applyBorder="1"/>
    <xf numFmtId="0" fontId="11" fillId="0" borderId="12" xfId="0" applyFont="1" applyBorder="1"/>
    <xf numFmtId="0" fontId="11" fillId="0" borderId="11" xfId="0" applyFont="1" applyBorder="1"/>
    <xf numFmtId="0" fontId="11" fillId="0" borderId="16" xfId="0" applyFont="1" applyBorder="1"/>
    <xf numFmtId="211" fontId="11" fillId="16" borderId="23" xfId="0" applyNumberFormat="1" applyFont="1" applyFill="1" applyBorder="1" applyAlignment="1">
      <alignment horizontal="center"/>
    </xf>
    <xf numFmtId="0" fontId="11" fillId="16" borderId="23" xfId="0" applyFont="1" applyFill="1" applyBorder="1" applyAlignment="1">
      <alignment horizontal="center"/>
    </xf>
    <xf numFmtId="0" fontId="11" fillId="0" borderId="13" xfId="0" applyFont="1" applyBorder="1"/>
    <xf numFmtId="0" fontId="11" fillId="0" borderId="11" xfId="0" applyFont="1" applyBorder="1" applyAlignment="1">
      <alignment horizontal="center"/>
    </xf>
    <xf numFmtId="214" fontId="11" fillId="6" borderId="3" xfId="0" applyNumberFormat="1" applyFont="1" applyFill="1" applyBorder="1" applyAlignment="1">
      <alignment horizontal="center"/>
    </xf>
    <xf numFmtId="215" fontId="11" fillId="0" borderId="3" xfId="0" applyNumberFormat="1" applyFont="1" applyBorder="1" applyAlignment="1">
      <alignment horizontal="center"/>
    </xf>
    <xf numFmtId="0" fontId="11" fillId="0" borderId="0" xfId="0" applyFont="1" applyAlignment="1">
      <alignment wrapText="1"/>
    </xf>
    <xf numFmtId="216" fontId="11" fillId="16" borderId="3" xfId="0" applyNumberFormat="1" applyFont="1" applyFill="1" applyBorder="1" applyAlignment="1">
      <alignment horizontal="center"/>
    </xf>
    <xf numFmtId="0" fontId="11" fillId="0" borderId="25" xfId="0" applyFont="1" applyBorder="1"/>
    <xf numFmtId="0" fontId="11" fillId="0" borderId="27" xfId="0" applyFont="1" applyBorder="1"/>
    <xf numFmtId="0" fontId="11" fillId="16" borderId="24" xfId="0" applyFont="1" applyFill="1" applyBorder="1" applyAlignment="1">
      <alignment horizontal="left"/>
    </xf>
    <xf numFmtId="217" fontId="11" fillId="16" borderId="23" xfId="0" applyNumberFormat="1" applyFont="1" applyFill="1" applyBorder="1"/>
    <xf numFmtId="217" fontId="11" fillId="16" borderId="23" xfId="0" applyNumberFormat="1" applyFont="1" applyFill="1" applyBorder="1" applyAlignment="1">
      <alignment horizontal="center"/>
    </xf>
    <xf numFmtId="218" fontId="11" fillId="6" borderId="3" xfId="0" applyNumberFormat="1" applyFont="1" applyFill="1" applyBorder="1" applyAlignment="1">
      <alignment horizontal="center"/>
    </xf>
    <xf numFmtId="218" fontId="11" fillId="16" borderId="3" xfId="0" applyNumberFormat="1" applyFont="1" applyFill="1" applyBorder="1" applyAlignment="1">
      <alignment horizontal="center"/>
    </xf>
    <xf numFmtId="179" fontId="0" fillId="0" borderId="0" xfId="0" applyNumberFormat="1"/>
    <xf numFmtId="219" fontId="0" fillId="0" borderId="0" xfId="0" applyNumberFormat="1"/>
    <xf numFmtId="207" fontId="0" fillId="0" borderId="0" xfId="0" applyNumberFormat="1"/>
    <xf numFmtId="168" fontId="0" fillId="0" borderId="0" xfId="0" applyNumberFormat="1"/>
    <xf numFmtId="0" fontId="22" fillId="0" borderId="0" xfId="0" applyFont="1" applyAlignment="1">
      <alignment horizontal="center"/>
    </xf>
    <xf numFmtId="0" fontId="22" fillId="0" borderId="26" xfId="0" applyFont="1" applyBorder="1" applyAlignment="1">
      <alignment horizontal="center"/>
    </xf>
    <xf numFmtId="179" fontId="22" fillId="0" borderId="25" xfId="0" applyNumberFormat="1" applyFont="1" applyBorder="1" applyAlignment="1">
      <alignment horizontal="center"/>
    </xf>
    <xf numFmtId="219" fontId="22" fillId="0" borderId="25" xfId="0" applyNumberFormat="1" applyFont="1" applyBorder="1" applyAlignment="1">
      <alignment horizontal="center"/>
    </xf>
    <xf numFmtId="207" fontId="22" fillId="0" borderId="25" xfId="0" applyNumberFormat="1" applyFont="1" applyBorder="1" applyAlignment="1">
      <alignment horizontal="center"/>
    </xf>
    <xf numFmtId="168" fontId="22" fillId="0" borderId="25" xfId="0" applyNumberFormat="1" applyFont="1" applyBorder="1" applyAlignment="1">
      <alignment horizontal="center"/>
    </xf>
    <xf numFmtId="168" fontId="22" fillId="0" borderId="27" xfId="0" applyNumberFormat="1" applyFont="1" applyBorder="1" applyAlignment="1">
      <alignment horizontal="center"/>
    </xf>
    <xf numFmtId="219" fontId="0" fillId="6" borderId="3" xfId="0" applyNumberFormat="1" applyFill="1" applyBorder="1"/>
    <xf numFmtId="0" fontId="0" fillId="6" borderId="3" xfId="0" applyFill="1" applyBorder="1"/>
    <xf numFmtId="207" fontId="0" fillId="6" borderId="3" xfId="0" applyNumberFormat="1" applyFill="1" applyBorder="1"/>
    <xf numFmtId="168" fontId="0" fillId="0" borderId="3" xfId="0" applyNumberFormat="1" applyBorder="1"/>
    <xf numFmtId="168" fontId="0" fillId="0" borderId="21" xfId="0" applyNumberFormat="1" applyBorder="1"/>
    <xf numFmtId="219" fontId="0" fillId="16" borderId="3" xfId="0" applyNumberFormat="1" applyFill="1" applyBorder="1"/>
    <xf numFmtId="220" fontId="0" fillId="6" borderId="3" xfId="0" applyNumberFormat="1" applyFill="1" applyBorder="1"/>
    <xf numFmtId="168" fontId="0" fillId="0" borderId="24" xfId="0" applyNumberFormat="1" applyBorder="1"/>
    <xf numFmtId="0" fontId="22" fillId="0" borderId="0" xfId="0" applyFont="1"/>
    <xf numFmtId="168" fontId="22" fillId="0" borderId="0" xfId="0" applyNumberFormat="1" applyFont="1"/>
    <xf numFmtId="181" fontId="0" fillId="6" borderId="3" xfId="0" applyNumberFormat="1" applyFill="1" applyBorder="1"/>
    <xf numFmtId="221" fontId="0" fillId="6" borderId="3" xfId="0" applyNumberFormat="1" applyFill="1" applyBorder="1"/>
    <xf numFmtId="172" fontId="0" fillId="6" borderId="3" xfId="0" applyNumberFormat="1" applyFill="1" applyBorder="1"/>
    <xf numFmtId="185" fontId="0" fillId="0" borderId="21" xfId="0" applyNumberFormat="1" applyBorder="1"/>
    <xf numFmtId="221" fontId="0" fillId="16" borderId="3" xfId="0" applyNumberFormat="1" applyFill="1" applyBorder="1"/>
    <xf numFmtId="185" fontId="0" fillId="0" borderId="24" xfId="0" applyNumberFormat="1" applyBorder="1"/>
    <xf numFmtId="0" fontId="0" fillId="6" borderId="23" xfId="0" applyFill="1" applyBorder="1" applyAlignment="1">
      <alignment vertical="center"/>
    </xf>
    <xf numFmtId="0" fontId="23" fillId="0" borderId="0" xfId="0" applyFont="1" applyAlignment="1">
      <alignment vertical="center"/>
    </xf>
    <xf numFmtId="182" fontId="0" fillId="6" borderId="3" xfId="0" applyNumberFormat="1" applyFill="1" applyBorder="1"/>
    <xf numFmtId="222" fontId="0" fillId="0" borderId="21" xfId="0" applyNumberFormat="1" applyBorder="1"/>
    <xf numFmtId="222" fontId="0" fillId="6" borderId="23" xfId="0" applyNumberFormat="1" applyFill="1" applyBorder="1"/>
    <xf numFmtId="182" fontId="0" fillId="0" borderId="24" xfId="0" applyNumberFormat="1" applyBorder="1"/>
    <xf numFmtId="222" fontId="0" fillId="0" borderId="3" xfId="0" applyNumberFormat="1" applyBorder="1"/>
    <xf numFmtId="222" fontId="0" fillId="6" borderId="3" xfId="0" applyNumberFormat="1" applyFill="1" applyBorder="1" applyProtection="1">
      <protection locked="0"/>
    </xf>
    <xf numFmtId="222" fontId="0" fillId="6" borderId="21" xfId="0" applyNumberFormat="1" applyFill="1" applyBorder="1" applyProtection="1">
      <protection locked="0"/>
    </xf>
    <xf numFmtId="0" fontId="11" fillId="0" borderId="0" xfId="0" applyFont="1" applyAlignment="1">
      <alignment vertical="center" wrapText="1"/>
    </xf>
    <xf numFmtId="0" fontId="0" fillId="0" borderId="0" xfId="0" applyAlignment="1">
      <alignment horizontal="left" vertical="center" wrapText="1" indent="1"/>
    </xf>
    <xf numFmtId="223" fontId="0" fillId="0" borderId="0" xfId="0" applyNumberFormat="1"/>
    <xf numFmtId="224" fontId="0" fillId="6" borderId="3" xfId="0" applyNumberFormat="1" applyFill="1" applyBorder="1"/>
    <xf numFmtId="190" fontId="0" fillId="6" borderId="3" xfId="0" applyNumberFormat="1" applyFill="1" applyBorder="1"/>
    <xf numFmtId="225" fontId="0" fillId="6" borderId="22" xfId="0" applyNumberFormat="1" applyFill="1" applyBorder="1"/>
    <xf numFmtId="224" fontId="0" fillId="6" borderId="23" xfId="0" applyNumberFormat="1" applyFill="1" applyBorder="1"/>
    <xf numFmtId="190" fontId="0" fillId="6" borderId="23" xfId="0" applyNumberFormat="1" applyFill="1" applyBorder="1"/>
    <xf numFmtId="180" fontId="0" fillId="0" borderId="24" xfId="0" applyNumberFormat="1" applyBorder="1"/>
    <xf numFmtId="225" fontId="0" fillId="6" borderId="20" xfId="0" applyNumberFormat="1" applyFill="1" applyBorder="1"/>
    <xf numFmtId="180" fontId="0" fillId="0" borderId="21" xfId="0" applyNumberFormat="1" applyBorder="1"/>
    <xf numFmtId="0" fontId="26" fillId="0" borderId="0" xfId="0" applyFont="1"/>
    <xf numFmtId="0" fontId="29" fillId="0" borderId="12" xfId="0" applyFont="1" applyBorder="1"/>
    <xf numFmtId="0" fontId="30" fillId="3" borderId="12" xfId="0" applyFont="1" applyFill="1" applyBorder="1"/>
    <xf numFmtId="0" fontId="26" fillId="3" borderId="0" xfId="0" applyFont="1" applyFill="1"/>
    <xf numFmtId="0" fontId="26" fillId="0" borderId="12" xfId="0" applyFont="1" applyBorder="1"/>
    <xf numFmtId="0" fontId="26" fillId="0" borderId="15" xfId="0" applyFont="1" applyBorder="1"/>
    <xf numFmtId="0" fontId="29" fillId="0" borderId="0" xfId="0" applyFont="1"/>
    <xf numFmtId="0" fontId="29" fillId="0" borderId="20" xfId="0" applyFont="1" applyBorder="1"/>
    <xf numFmtId="0" fontId="29" fillId="0" borderId="3" xfId="0" applyFont="1" applyBorder="1" applyAlignment="1">
      <alignment horizontal="center"/>
    </xf>
    <xf numFmtId="201" fontId="29" fillId="6" borderId="3" xfId="0" applyNumberFormat="1" applyFont="1" applyFill="1" applyBorder="1" applyAlignment="1">
      <alignment horizontal="center"/>
    </xf>
    <xf numFmtId="202" fontId="29" fillId="0" borderId="3" xfId="0" applyNumberFormat="1" applyFont="1" applyBorder="1" applyAlignment="1">
      <alignment horizontal="center"/>
    </xf>
    <xf numFmtId="0" fontId="31" fillId="0" borderId="26" xfId="0" applyFont="1" applyBorder="1" applyAlignment="1">
      <alignment horizontal="center"/>
    </xf>
    <xf numFmtId="0" fontId="31" fillId="0" borderId="25" xfId="0" applyFont="1" applyBorder="1" applyAlignment="1">
      <alignment horizontal="center"/>
    </xf>
    <xf numFmtId="0" fontId="31" fillId="0" borderId="27" xfId="0" applyFont="1" applyBorder="1" applyAlignment="1">
      <alignment horizontal="center"/>
    </xf>
    <xf numFmtId="0" fontId="26" fillId="0" borderId="0" xfId="0" applyFont="1" applyAlignment="1">
      <alignment horizontal="center"/>
    </xf>
    <xf numFmtId="171" fontId="26" fillId="9" borderId="3" xfId="0" applyNumberFormat="1" applyFont="1" applyFill="1" applyBorder="1" applyAlignment="1">
      <alignment horizontal="center"/>
    </xf>
    <xf numFmtId="174" fontId="26" fillId="9" borderId="3" xfId="0" applyNumberFormat="1" applyFont="1" applyFill="1" applyBorder="1" applyAlignment="1">
      <alignment horizontal="center"/>
    </xf>
    <xf numFmtId="183" fontId="26" fillId="9" borderId="3" xfId="0" applyNumberFormat="1" applyFont="1" applyFill="1" applyBorder="1" applyAlignment="1">
      <alignment horizontal="center"/>
    </xf>
    <xf numFmtId="0" fontId="32" fillId="0" borderId="20" xfId="0" applyFont="1" applyBorder="1" applyAlignment="1">
      <alignment horizontal="center"/>
    </xf>
    <xf numFmtId="0" fontId="32" fillId="0" borderId="3" xfId="0" applyFont="1" applyBorder="1" applyAlignment="1">
      <alignment horizontal="center"/>
    </xf>
    <xf numFmtId="0" fontId="32" fillId="0" borderId="21" xfId="0" applyFont="1" applyBorder="1" applyAlignment="1">
      <alignment horizontal="center"/>
    </xf>
    <xf numFmtId="2" fontId="26" fillId="0" borderId="0" xfId="0" applyNumberFormat="1" applyFont="1" applyAlignment="1">
      <alignment horizontal="center"/>
    </xf>
    <xf numFmtId="171" fontId="26" fillId="8" borderId="3" xfId="0" applyNumberFormat="1" applyFont="1" applyFill="1" applyBorder="1" applyAlignment="1">
      <alignment horizontal="center"/>
    </xf>
    <xf numFmtId="174" fontId="26" fillId="8" borderId="3" xfId="0" applyNumberFormat="1" applyFont="1" applyFill="1" applyBorder="1" applyAlignment="1">
      <alignment horizontal="center"/>
    </xf>
    <xf numFmtId="183" fontId="26" fillId="8" borderId="3" xfId="0" applyNumberFormat="1" applyFont="1" applyFill="1" applyBorder="1" applyAlignment="1">
      <alignment horizontal="center"/>
    </xf>
    <xf numFmtId="0" fontId="33" fillId="0" borderId="12" xfId="0" applyFont="1" applyBorder="1"/>
    <xf numFmtId="171" fontId="26" fillId="10" borderId="3" xfId="0" applyNumberFormat="1" applyFont="1" applyFill="1" applyBorder="1" applyAlignment="1">
      <alignment horizontal="center"/>
    </xf>
    <xf numFmtId="174" fontId="26" fillId="10" borderId="3" xfId="0" applyNumberFormat="1" applyFont="1" applyFill="1" applyBorder="1" applyAlignment="1">
      <alignment horizontal="center"/>
    </xf>
    <xf numFmtId="183" fontId="26" fillId="10" borderId="3" xfId="0" applyNumberFormat="1" applyFont="1" applyFill="1" applyBorder="1" applyAlignment="1">
      <alignment horizontal="center"/>
    </xf>
    <xf numFmtId="0" fontId="33" fillId="0" borderId="12" xfId="0" applyFont="1" applyBorder="1" applyAlignment="1">
      <alignment horizontal="right"/>
    </xf>
    <xf numFmtId="0" fontId="33" fillId="0" borderId="0" xfId="0" applyFont="1"/>
    <xf numFmtId="0" fontId="33" fillId="0" borderId="0" xfId="0" applyFont="1" applyAlignment="1">
      <alignment horizontal="center"/>
    </xf>
    <xf numFmtId="171" fontId="26" fillId="11" borderId="3" xfId="0" applyNumberFormat="1" applyFont="1" applyFill="1" applyBorder="1" applyAlignment="1">
      <alignment horizontal="center"/>
    </xf>
    <xf numFmtId="174" fontId="26" fillId="11" borderId="3" xfId="0" applyNumberFormat="1" applyFont="1" applyFill="1" applyBorder="1" applyAlignment="1">
      <alignment horizontal="center"/>
    </xf>
    <xf numFmtId="183" fontId="26" fillId="11" borderId="3" xfId="0" applyNumberFormat="1" applyFont="1" applyFill="1" applyBorder="1" applyAlignment="1">
      <alignment horizontal="center"/>
    </xf>
    <xf numFmtId="0" fontId="26" fillId="0" borderId="12" xfId="0" applyFont="1" applyBorder="1" applyAlignment="1">
      <alignment horizontal="right"/>
    </xf>
    <xf numFmtId="171" fontId="26" fillId="13" borderId="3" xfId="0" applyNumberFormat="1" applyFont="1" applyFill="1" applyBorder="1" applyAlignment="1">
      <alignment horizontal="center"/>
    </xf>
    <xf numFmtId="174" fontId="26" fillId="13" borderId="3" xfId="0" applyNumberFormat="1" applyFont="1" applyFill="1" applyBorder="1" applyAlignment="1">
      <alignment horizontal="center"/>
    </xf>
    <xf numFmtId="183" fontId="26" fillId="13" borderId="3" xfId="0" applyNumberFormat="1" applyFont="1" applyFill="1" applyBorder="1" applyAlignment="1">
      <alignment horizontal="center"/>
    </xf>
    <xf numFmtId="168" fontId="32" fillId="0" borderId="3" xfId="0" applyNumberFormat="1" applyFont="1" applyBorder="1"/>
    <xf numFmtId="168" fontId="32" fillId="0" borderId="21" xfId="0" applyNumberFormat="1" applyFont="1" applyBorder="1"/>
    <xf numFmtId="0" fontId="34" fillId="0" borderId="12" xfId="0" applyFont="1" applyBorder="1" applyAlignment="1">
      <alignment horizontal="right"/>
    </xf>
    <xf numFmtId="0" fontId="34" fillId="0" borderId="0" xfId="0" applyFont="1"/>
    <xf numFmtId="171" fontId="26" fillId="7" borderId="3" xfId="0" applyNumberFormat="1" applyFont="1" applyFill="1" applyBorder="1" applyAlignment="1">
      <alignment horizontal="center"/>
    </xf>
    <xf numFmtId="174" fontId="26" fillId="7" borderId="3" xfId="0" applyNumberFormat="1" applyFont="1" applyFill="1" applyBorder="1" applyAlignment="1">
      <alignment horizontal="center"/>
    </xf>
    <xf numFmtId="183" fontId="26" fillId="7" borderId="3" xfId="0" applyNumberFormat="1" applyFont="1" applyFill="1" applyBorder="1" applyAlignment="1">
      <alignment horizontal="center"/>
    </xf>
    <xf numFmtId="171" fontId="26" fillId="14" borderId="3" xfId="0" applyNumberFormat="1" applyFont="1" applyFill="1" applyBorder="1" applyAlignment="1">
      <alignment horizontal="center"/>
    </xf>
    <xf numFmtId="174" fontId="26" fillId="14" borderId="3" xfId="0" applyNumberFormat="1" applyFont="1" applyFill="1" applyBorder="1" applyAlignment="1">
      <alignment horizontal="center"/>
    </xf>
    <xf numFmtId="183" fontId="26" fillId="14" borderId="3" xfId="0" applyNumberFormat="1" applyFont="1" applyFill="1" applyBorder="1" applyAlignment="1">
      <alignment horizontal="center"/>
    </xf>
    <xf numFmtId="0" fontId="35" fillId="0" borderId="12" xfId="0" applyFont="1" applyBorder="1"/>
    <xf numFmtId="171" fontId="26" fillId="12" borderId="3" xfId="0" applyNumberFormat="1" applyFont="1" applyFill="1" applyBorder="1" applyAlignment="1">
      <alignment horizontal="center"/>
    </xf>
    <xf numFmtId="174" fontId="26" fillId="12" borderId="3" xfId="0" applyNumberFormat="1" applyFont="1" applyFill="1" applyBorder="1" applyAlignment="1">
      <alignment horizontal="center"/>
    </xf>
    <xf numFmtId="183" fontId="26" fillId="12" borderId="3" xfId="0" applyNumberFormat="1" applyFont="1" applyFill="1" applyBorder="1" applyAlignment="1">
      <alignment horizontal="center"/>
    </xf>
    <xf numFmtId="0" fontId="35" fillId="0" borderId="12" xfId="0" applyFont="1" applyBorder="1" applyAlignment="1">
      <alignment horizontal="right"/>
    </xf>
    <xf numFmtId="0" fontId="35" fillId="0" borderId="0" xfId="0" applyFont="1"/>
    <xf numFmtId="171" fontId="26" fillId="15" borderId="3" xfId="0" applyNumberFormat="1" applyFont="1" applyFill="1" applyBorder="1" applyAlignment="1">
      <alignment horizontal="center"/>
    </xf>
    <xf numFmtId="174" fontId="26" fillId="15" borderId="3" xfId="0" applyNumberFormat="1" applyFont="1" applyFill="1" applyBorder="1" applyAlignment="1">
      <alignment horizontal="center"/>
    </xf>
    <xf numFmtId="183" fontId="26" fillId="15" borderId="3" xfId="0" applyNumberFormat="1" applyFont="1" applyFill="1" applyBorder="1" applyAlignment="1">
      <alignment horizontal="center"/>
    </xf>
    <xf numFmtId="0" fontId="33" fillId="0" borderId="3" xfId="0" applyFont="1" applyBorder="1" applyAlignment="1">
      <alignment horizontal="center"/>
    </xf>
    <xf numFmtId="164" fontId="37" fillId="0" borderId="3" xfId="0" applyNumberFormat="1" applyFont="1" applyBorder="1" applyAlignment="1">
      <alignment horizontal="center"/>
    </xf>
    <xf numFmtId="0" fontId="34" fillId="0" borderId="0" xfId="0" applyFont="1" applyAlignment="1">
      <alignment horizontal="center"/>
    </xf>
    <xf numFmtId="204" fontId="38" fillId="0" borderId="3" xfId="0" applyNumberFormat="1" applyFont="1" applyBorder="1" applyAlignment="1">
      <alignment horizontal="center"/>
    </xf>
    <xf numFmtId="165" fontId="26" fillId="0" borderId="0" xfId="0" applyNumberFormat="1" applyFont="1"/>
    <xf numFmtId="0" fontId="29" fillId="0" borderId="0" xfId="0" applyFont="1" applyAlignment="1">
      <alignment horizontal="center"/>
    </xf>
    <xf numFmtId="165" fontId="26" fillId="6" borderId="0" xfId="0" applyNumberFormat="1" applyFont="1" applyFill="1" applyAlignment="1">
      <alignment horizontal="right"/>
    </xf>
    <xf numFmtId="0" fontId="32" fillId="0" borderId="22" xfId="0" applyFont="1" applyBorder="1" applyAlignment="1">
      <alignment horizontal="center"/>
    </xf>
    <xf numFmtId="168" fontId="32" fillId="0" borderId="23" xfId="0" applyNumberFormat="1" applyFont="1" applyBorder="1"/>
    <xf numFmtId="168" fontId="32" fillId="0" borderId="24" xfId="0" applyNumberFormat="1" applyFont="1" applyBorder="1"/>
    <xf numFmtId="0" fontId="35" fillId="0" borderId="3" xfId="0" applyFont="1" applyBorder="1" applyAlignment="1">
      <alignment horizontal="center"/>
    </xf>
    <xf numFmtId="164" fontId="39" fillId="0" borderId="3" xfId="0" applyNumberFormat="1" applyFont="1" applyBorder="1" applyAlignment="1">
      <alignment horizontal="center"/>
    </xf>
    <xf numFmtId="204" fontId="40" fillId="0" borderId="3" xfId="0" applyNumberFormat="1" applyFont="1" applyBorder="1" applyAlignment="1">
      <alignment horizontal="center"/>
    </xf>
    <xf numFmtId="182" fontId="40" fillId="0" borderId="0" xfId="0" applyNumberFormat="1" applyFont="1" applyAlignment="1">
      <alignment horizontal="center"/>
    </xf>
    <xf numFmtId="0" fontId="33" fillId="8" borderId="53" xfId="0" applyFont="1" applyFill="1" applyBorder="1" applyAlignment="1">
      <alignment horizontal="center"/>
    </xf>
    <xf numFmtId="0" fontId="26" fillId="8" borderId="0" xfId="0" applyFont="1" applyFill="1"/>
    <xf numFmtId="0" fontId="26" fillId="8" borderId="11" xfId="0" applyFont="1" applyFill="1" applyBorder="1"/>
    <xf numFmtId="164" fontId="37" fillId="8" borderId="20" xfId="0" applyNumberFormat="1" applyFont="1" applyFill="1" applyBorder="1" applyAlignment="1">
      <alignment horizontal="center"/>
    </xf>
    <xf numFmtId="204" fontId="38" fillId="8" borderId="20" xfId="0" applyNumberFormat="1" applyFont="1" applyFill="1" applyBorder="1" applyAlignment="1">
      <alignment horizontal="center"/>
    </xf>
    <xf numFmtId="0" fontId="34" fillId="8" borderId="0" xfId="0" applyFont="1" applyFill="1" applyAlignment="1">
      <alignment horizontal="center"/>
    </xf>
    <xf numFmtId="0" fontId="26" fillId="8" borderId="12" xfId="0" applyFont="1" applyFill="1" applyBorder="1"/>
    <xf numFmtId="0" fontId="29" fillId="8" borderId="3" xfId="0" applyFont="1" applyFill="1" applyBorder="1" applyAlignment="1">
      <alignment horizontal="center"/>
    </xf>
    <xf numFmtId="0" fontId="29" fillId="8" borderId="21" xfId="0" applyFont="1" applyFill="1" applyBorder="1" applyAlignment="1">
      <alignment horizontal="center"/>
    </xf>
    <xf numFmtId="166" fontId="26" fillId="8" borderId="3" xfId="0" applyNumberFormat="1" applyFont="1" applyFill="1" applyBorder="1" applyAlignment="1">
      <alignment horizontal="right"/>
    </xf>
    <xf numFmtId="165" fontId="26" fillId="8" borderId="21" xfId="0" applyNumberFormat="1" applyFont="1" applyFill="1" applyBorder="1" applyAlignment="1">
      <alignment horizontal="right"/>
    </xf>
    <xf numFmtId="0" fontId="35" fillId="8" borderId="20" xfId="0" applyFont="1" applyFill="1" applyBorder="1" applyAlignment="1">
      <alignment horizontal="center"/>
    </xf>
    <xf numFmtId="0" fontId="26" fillId="8" borderId="0" xfId="0" applyFont="1" applyFill="1" applyAlignment="1">
      <alignment horizontal="center"/>
    </xf>
    <xf numFmtId="164" fontId="39" fillId="8" borderId="20" xfId="0" applyNumberFormat="1" applyFont="1" applyFill="1" applyBorder="1" applyAlignment="1">
      <alignment horizontal="center"/>
    </xf>
    <xf numFmtId="204" fontId="40" fillId="8" borderId="20" xfId="0" applyNumberFormat="1" applyFont="1" applyFill="1" applyBorder="1" applyAlignment="1">
      <alignment horizontal="center"/>
    </xf>
    <xf numFmtId="0" fontId="26" fillId="8" borderId="16" xfId="0" applyFont="1" applyFill="1" applyBorder="1"/>
    <xf numFmtId="0" fontId="34" fillId="8" borderId="17" xfId="0" applyFont="1" applyFill="1" applyBorder="1" applyAlignment="1">
      <alignment horizontal="center"/>
    </xf>
    <xf numFmtId="182" fontId="40" fillId="8" borderId="13" xfId="0" applyNumberFormat="1" applyFont="1" applyFill="1" applyBorder="1" applyAlignment="1">
      <alignment horizontal="center"/>
    </xf>
    <xf numFmtId="0" fontId="43" fillId="0" borderId="12" xfId="0" applyFont="1" applyBorder="1" applyAlignment="1">
      <alignment horizontal="center"/>
    </xf>
    <xf numFmtId="164" fontId="43" fillId="0" borderId="0" xfId="0" applyNumberFormat="1" applyFont="1" applyAlignment="1">
      <alignment horizontal="center"/>
    </xf>
    <xf numFmtId="0" fontId="43" fillId="0" borderId="0" xfId="0" applyFont="1" applyAlignment="1">
      <alignment horizontal="center"/>
    </xf>
    <xf numFmtId="189" fontId="26" fillId="0" borderId="0" xfId="0" applyNumberFormat="1" applyFont="1"/>
    <xf numFmtId="0" fontId="43" fillId="0" borderId="0" xfId="0" applyFont="1"/>
    <xf numFmtId="0" fontId="34" fillId="0" borderId="20" xfId="0" applyFont="1" applyBorder="1"/>
    <xf numFmtId="199" fontId="29" fillId="0" borderId="21" xfId="0" applyNumberFormat="1" applyFont="1" applyBorder="1"/>
    <xf numFmtId="0" fontId="26" fillId="0" borderId="20" xfId="0" applyFont="1" applyBorder="1"/>
    <xf numFmtId="171" fontId="26" fillId="6" borderId="21" xfId="0" applyNumberFormat="1" applyFont="1" applyFill="1" applyBorder="1"/>
    <xf numFmtId="0" fontId="26" fillId="0" borderId="22" xfId="0" applyFont="1" applyBorder="1"/>
    <xf numFmtId="198" fontId="26" fillId="6" borderId="24" xfId="0" applyNumberFormat="1" applyFont="1" applyFill="1" applyBorder="1"/>
    <xf numFmtId="198" fontId="29" fillId="0" borderId="21" xfId="0" applyNumberFormat="1" applyFont="1" applyBorder="1"/>
    <xf numFmtId="200" fontId="26" fillId="6" borderId="24" xfId="0" applyNumberFormat="1" applyFont="1" applyFill="1" applyBorder="1"/>
    <xf numFmtId="0" fontId="44" fillId="0" borderId="14" xfId="0" applyFont="1" applyBorder="1"/>
    <xf numFmtId="0" fontId="26" fillId="0" borderId="11" xfId="0" applyFont="1" applyBorder="1"/>
    <xf numFmtId="0" fontId="34" fillId="0" borderId="12" xfId="0" applyFont="1" applyBorder="1"/>
    <xf numFmtId="183" fontId="26" fillId="0" borderId="0" xfId="0" applyNumberFormat="1" applyFont="1" applyAlignment="1">
      <alignment horizontal="center"/>
    </xf>
    <xf numFmtId="0" fontId="26" fillId="0" borderId="20" xfId="0" applyFont="1" applyBorder="1" applyAlignment="1">
      <alignment horizontal="right"/>
    </xf>
    <xf numFmtId="174" fontId="26" fillId="4" borderId="3" xfId="0" applyNumberFormat="1" applyFont="1" applyFill="1" applyBorder="1" applyProtection="1">
      <protection locked="0"/>
    </xf>
    <xf numFmtId="0" fontId="34" fillId="0" borderId="20" xfId="0" applyFont="1" applyBorder="1" applyAlignment="1">
      <alignment horizontal="right"/>
    </xf>
    <xf numFmtId="190" fontId="26" fillId="4" borderId="3" xfId="0" applyNumberFormat="1" applyFont="1" applyFill="1" applyBorder="1" applyProtection="1">
      <protection locked="0"/>
    </xf>
    <xf numFmtId="0" fontId="26" fillId="0" borderId="3" xfId="0" applyFont="1" applyBorder="1"/>
    <xf numFmtId="0" fontId="29" fillId="0" borderId="20" xfId="0" applyFont="1" applyBorder="1" applyAlignment="1">
      <alignment horizontal="right"/>
    </xf>
    <xf numFmtId="182" fontId="26" fillId="0" borderId="3" xfId="0" applyNumberFormat="1" applyFont="1" applyBorder="1"/>
    <xf numFmtId="0" fontId="29" fillId="0" borderId="22" xfId="0" applyFont="1" applyBorder="1" applyAlignment="1">
      <alignment horizontal="right"/>
    </xf>
    <xf numFmtId="182" fontId="26" fillId="0" borderId="23" xfId="0" applyNumberFormat="1" applyFont="1" applyBorder="1"/>
    <xf numFmtId="0" fontId="26" fillId="0" borderId="23" xfId="0" applyFont="1" applyBorder="1"/>
    <xf numFmtId="0" fontId="26" fillId="0" borderId="24" xfId="0" applyFont="1" applyBorder="1"/>
    <xf numFmtId="2" fontId="26" fillId="0" borderId="0" xfId="0" applyNumberFormat="1" applyFont="1"/>
    <xf numFmtId="179" fontId="26" fillId="4" borderId="3" xfId="0" applyNumberFormat="1" applyFont="1" applyFill="1" applyBorder="1" applyProtection="1">
      <protection locked="0"/>
    </xf>
    <xf numFmtId="187" fontId="26" fillId="4" borderId="21" xfId="0" applyNumberFormat="1" applyFont="1" applyFill="1" applyBorder="1" applyProtection="1">
      <protection locked="0"/>
    </xf>
    <xf numFmtId="205" fontId="26" fillId="4" borderId="3" xfId="0" applyNumberFormat="1" applyFont="1" applyFill="1" applyBorder="1" applyProtection="1">
      <protection locked="0"/>
    </xf>
    <xf numFmtId="174" fontId="26" fillId="0" borderId="3" xfId="0" applyNumberFormat="1" applyFont="1" applyBorder="1"/>
    <xf numFmtId="183" fontId="26" fillId="0" borderId="21" xfId="0" applyNumberFormat="1" applyFont="1" applyBorder="1"/>
    <xf numFmtId="181" fontId="26" fillId="4" borderId="3" xfId="0" applyNumberFormat="1" applyFont="1" applyFill="1" applyBorder="1" applyProtection="1">
      <protection locked="0"/>
    </xf>
    <xf numFmtId="171" fontId="26" fillId="4" borderId="3" xfId="0" applyNumberFormat="1" applyFont="1" applyFill="1" applyBorder="1" applyProtection="1">
      <protection locked="0"/>
    </xf>
    <xf numFmtId="172" fontId="26" fillId="4" borderId="21" xfId="0" applyNumberFormat="1" applyFont="1" applyFill="1" applyBorder="1" applyProtection="1">
      <protection locked="0"/>
    </xf>
    <xf numFmtId="172" fontId="26" fillId="4" borderId="3" xfId="0" applyNumberFormat="1" applyFont="1" applyFill="1" applyBorder="1" applyProtection="1">
      <protection locked="0"/>
    </xf>
    <xf numFmtId="172" fontId="26" fillId="0" borderId="21" xfId="0" applyNumberFormat="1" applyFont="1" applyBorder="1" applyProtection="1">
      <protection locked="0"/>
    </xf>
    <xf numFmtId="185" fontId="26" fillId="0" borderId="3" xfId="0" applyNumberFormat="1" applyFont="1" applyBorder="1"/>
    <xf numFmtId="0" fontId="34" fillId="0" borderId="34" xfId="0" applyFont="1" applyBorder="1" applyAlignment="1">
      <alignment horizontal="right"/>
    </xf>
    <xf numFmtId="172" fontId="26" fillId="4" borderId="35" xfId="0" applyNumberFormat="1" applyFont="1" applyFill="1" applyBorder="1" applyProtection="1">
      <protection locked="0"/>
    </xf>
    <xf numFmtId="171" fontId="26" fillId="0" borderId="36" xfId="0" applyNumberFormat="1" applyFont="1" applyBorder="1" applyProtection="1">
      <protection locked="0"/>
    </xf>
    <xf numFmtId="0" fontId="26" fillId="0" borderId="25" xfId="0" applyFont="1" applyBorder="1"/>
    <xf numFmtId="0" fontId="26" fillId="0" borderId="27" xfId="0" applyFont="1" applyBorder="1"/>
    <xf numFmtId="206" fontId="26" fillId="4" borderId="3" xfId="0" applyNumberFormat="1" applyFont="1" applyFill="1" applyBorder="1" applyProtection="1">
      <protection locked="0"/>
    </xf>
    <xf numFmtId="0" fontId="29" fillId="0" borderId="20" xfId="0" applyFont="1" applyBorder="1" applyAlignment="1">
      <alignment horizontal="center"/>
    </xf>
    <xf numFmtId="0" fontId="29" fillId="0" borderId="21" xfId="0" applyFont="1" applyBorder="1" applyAlignment="1">
      <alignment horizontal="center"/>
    </xf>
    <xf numFmtId="201" fontId="26" fillId="4" borderId="3" xfId="0" applyNumberFormat="1" applyFont="1" applyFill="1" applyBorder="1" applyProtection="1">
      <protection locked="0"/>
    </xf>
    <xf numFmtId="170" fontId="26" fillId="6" borderId="3" xfId="0" applyNumberFormat="1" applyFont="1" applyFill="1" applyBorder="1"/>
    <xf numFmtId="168" fontId="26" fillId="6" borderId="3" xfId="0" applyNumberFormat="1" applyFont="1" applyFill="1" applyBorder="1"/>
    <xf numFmtId="171" fontId="26" fillId="0" borderId="21" xfId="0" applyNumberFormat="1" applyFont="1" applyBorder="1"/>
    <xf numFmtId="207" fontId="26" fillId="4" borderId="3" xfId="0" applyNumberFormat="1" applyFont="1" applyFill="1" applyBorder="1" applyProtection="1">
      <protection locked="0"/>
    </xf>
    <xf numFmtId="0" fontId="34" fillId="0" borderId="22" xfId="0" applyFont="1" applyBorder="1"/>
    <xf numFmtId="170" fontId="26" fillId="6" borderId="23" xfId="0" applyNumberFormat="1" applyFont="1" applyFill="1" applyBorder="1"/>
    <xf numFmtId="168" fontId="26" fillId="6" borderId="23" xfId="0" applyNumberFormat="1" applyFont="1" applyFill="1" applyBorder="1"/>
    <xf numFmtId="171" fontId="26" fillId="0" borderId="24" xfId="0" applyNumberFormat="1" applyFont="1" applyBorder="1"/>
    <xf numFmtId="166" fontId="26" fillId="0" borderId="23" xfId="0" applyNumberFormat="1" applyFont="1" applyBorder="1"/>
    <xf numFmtId="0" fontId="26" fillId="0" borderId="13" xfId="0" applyFont="1" applyBorder="1"/>
    <xf numFmtId="169" fontId="26" fillId="0" borderId="0" xfId="0" applyNumberFormat="1" applyFont="1"/>
    <xf numFmtId="184" fontId="26" fillId="6" borderId="3" xfId="0" applyNumberFormat="1" applyFont="1" applyFill="1" applyBorder="1"/>
    <xf numFmtId="185" fontId="26" fillId="6" borderId="3" xfId="0" applyNumberFormat="1" applyFont="1" applyFill="1" applyBorder="1"/>
    <xf numFmtId="172" fontId="26" fillId="0" borderId="21" xfId="0" applyNumberFormat="1" applyFont="1" applyBorder="1"/>
    <xf numFmtId="184" fontId="26" fillId="6" borderId="23" xfId="0" applyNumberFormat="1" applyFont="1" applyFill="1" applyBorder="1"/>
    <xf numFmtId="185" fontId="26" fillId="6" borderId="23" xfId="0" applyNumberFormat="1" applyFont="1" applyFill="1" applyBorder="1"/>
    <xf numFmtId="172" fontId="26" fillId="0" borderId="24" xfId="0" applyNumberFormat="1" applyFont="1" applyBorder="1"/>
    <xf numFmtId="173" fontId="26" fillId="6" borderId="3" xfId="0" applyNumberFormat="1" applyFont="1" applyFill="1" applyBorder="1"/>
    <xf numFmtId="175" fontId="26" fillId="0" borderId="21" xfId="0" applyNumberFormat="1" applyFont="1" applyBorder="1"/>
    <xf numFmtId="178" fontId="26" fillId="0" borderId="0" xfId="0" applyNumberFormat="1" applyFont="1"/>
    <xf numFmtId="176" fontId="26" fillId="6" borderId="3" xfId="0" applyNumberFormat="1" applyFont="1" applyFill="1" applyBorder="1"/>
    <xf numFmtId="0" fontId="26" fillId="0" borderId="21" xfId="0" applyFont="1" applyBorder="1"/>
    <xf numFmtId="0" fontId="34" fillId="0" borderId="22" xfId="0" applyFont="1" applyBorder="1" applyAlignment="1">
      <alignment horizontal="right"/>
    </xf>
    <xf numFmtId="177" fontId="26" fillId="6" borderId="23" xfId="0" applyNumberFormat="1" applyFont="1" applyFill="1" applyBorder="1"/>
    <xf numFmtId="174" fontId="26" fillId="8" borderId="23" xfId="0" applyNumberFormat="1" applyFont="1" applyFill="1" applyBorder="1"/>
    <xf numFmtId="0" fontId="34" fillId="8" borderId="24" xfId="0" applyFont="1" applyFill="1" applyBorder="1"/>
    <xf numFmtId="172" fontId="26" fillId="0" borderId="0" xfId="0" applyNumberFormat="1" applyFont="1" applyAlignment="1">
      <alignment horizontal="center"/>
    </xf>
    <xf numFmtId="0" fontId="46" fillId="0" borderId="14" xfId="0" applyFont="1" applyBorder="1"/>
    <xf numFmtId="0" fontId="26" fillId="0" borderId="10" xfId="0" applyFont="1" applyBorder="1"/>
    <xf numFmtId="182" fontId="26" fillId="8" borderId="2" xfId="0" applyNumberFormat="1" applyFont="1" applyFill="1" applyBorder="1"/>
    <xf numFmtId="2" fontId="26" fillId="0" borderId="3" xfId="0" applyNumberFormat="1" applyFont="1" applyBorder="1"/>
    <xf numFmtId="2" fontId="26" fillId="8" borderId="21" xfId="0" applyNumberFormat="1" applyFont="1" applyFill="1" applyBorder="1"/>
    <xf numFmtId="179" fontId="26" fillId="6" borderId="3" xfId="0" applyNumberFormat="1" applyFont="1" applyFill="1" applyBorder="1"/>
    <xf numFmtId="0" fontId="26" fillId="0" borderId="16" xfId="0" applyFont="1" applyBorder="1"/>
    <xf numFmtId="0" fontId="26" fillId="0" borderId="17" xfId="0" applyFont="1" applyBorder="1"/>
    <xf numFmtId="0" fontId="26" fillId="6" borderId="23" xfId="0" applyFont="1" applyFill="1" applyBorder="1"/>
    <xf numFmtId="0" fontId="34" fillId="0" borderId="24" xfId="0" applyFont="1" applyBorder="1"/>
    <xf numFmtId="0" fontId="26" fillId="0" borderId="0" xfId="0" applyFont="1" applyAlignment="1">
      <alignment horizontal="left"/>
    </xf>
    <xf numFmtId="0" fontId="47" fillId="0" borderId="14" xfId="0" applyFont="1" applyBorder="1"/>
    <xf numFmtId="0" fontId="43" fillId="0" borderId="11" xfId="0" applyFont="1" applyBorder="1" applyAlignment="1">
      <alignment horizontal="center"/>
    </xf>
    <xf numFmtId="2" fontId="26" fillId="0" borderId="12" xfId="0" applyNumberFormat="1" applyFont="1" applyBorder="1" applyAlignment="1">
      <alignment horizontal="right"/>
    </xf>
    <xf numFmtId="2" fontId="26" fillId="0" borderId="11" xfId="0" applyNumberFormat="1" applyFont="1" applyBorder="1"/>
    <xf numFmtId="0" fontId="48" fillId="0" borderId="12" xfId="0" applyFont="1" applyBorder="1" applyAlignment="1">
      <alignment horizontal="right"/>
    </xf>
    <xf numFmtId="174" fontId="26" fillId="4" borderId="0" xfId="0" applyNumberFormat="1" applyFont="1" applyFill="1" applyProtection="1">
      <protection locked="0"/>
    </xf>
    <xf numFmtId="0" fontId="49" fillId="0" borderId="0" xfId="0" applyFont="1"/>
    <xf numFmtId="182" fontId="29" fillId="0" borderId="0" xfId="0" applyNumberFormat="1" applyFont="1"/>
    <xf numFmtId="182" fontId="29" fillId="0" borderId="11" xfId="0" applyNumberFormat="1" applyFont="1" applyBorder="1"/>
    <xf numFmtId="189" fontId="26" fillId="6" borderId="0" xfId="0" applyNumberFormat="1" applyFont="1" applyFill="1"/>
    <xf numFmtId="189" fontId="26" fillId="0" borderId="11" xfId="0" applyNumberFormat="1" applyFont="1" applyBorder="1"/>
    <xf numFmtId="182" fontId="26" fillId="6" borderId="0" xfId="0" applyNumberFormat="1" applyFont="1" applyFill="1"/>
    <xf numFmtId="182" fontId="26" fillId="0" borderId="0" xfId="0" applyNumberFormat="1" applyFont="1"/>
    <xf numFmtId="182" fontId="26" fillId="0" borderId="11" xfId="0" applyNumberFormat="1" applyFont="1" applyBorder="1"/>
    <xf numFmtId="189" fontId="34" fillId="0" borderId="0" xfId="0" applyNumberFormat="1" applyFont="1"/>
    <xf numFmtId="189" fontId="34" fillId="0" borderId="11" xfId="0" applyNumberFormat="1" applyFont="1" applyBorder="1"/>
    <xf numFmtId="186" fontId="26" fillId="0" borderId="0" xfId="0" applyNumberFormat="1" applyFont="1"/>
    <xf numFmtId="186" fontId="26" fillId="0" borderId="11" xfId="0" applyNumberFormat="1" applyFont="1" applyBorder="1"/>
    <xf numFmtId="0" fontId="29" fillId="0" borderId="3" xfId="0" applyFont="1" applyBorder="1"/>
    <xf numFmtId="189" fontId="29" fillId="0" borderId="3" xfId="0" applyNumberFormat="1" applyFont="1" applyBorder="1"/>
    <xf numFmtId="189" fontId="29" fillId="0" borderId="1" xfId="0" applyNumberFormat="1" applyFont="1" applyBorder="1"/>
    <xf numFmtId="189" fontId="29" fillId="0" borderId="49" xfId="0" applyNumberFormat="1" applyFont="1" applyBorder="1"/>
    <xf numFmtId="189" fontId="29" fillId="0" borderId="2" xfId="0" applyNumberFormat="1" applyFont="1" applyBorder="1"/>
    <xf numFmtId="189" fontId="29" fillId="0" borderId="21" xfId="0" applyNumberFormat="1" applyFont="1" applyBorder="1"/>
    <xf numFmtId="189" fontId="26" fillId="9" borderId="0" xfId="0" applyNumberFormat="1" applyFont="1" applyFill="1"/>
    <xf numFmtId="189" fontId="26" fillId="9" borderId="11" xfId="0" applyNumberFormat="1" applyFont="1" applyFill="1" applyBorder="1"/>
    <xf numFmtId="0" fontId="50" fillId="0" borderId="14" xfId="0" applyFont="1" applyBorder="1"/>
    <xf numFmtId="0" fontId="50" fillId="0" borderId="15" xfId="0" applyFont="1" applyBorder="1"/>
    <xf numFmtId="0" fontId="50" fillId="0" borderId="10" xfId="0" applyFont="1" applyBorder="1"/>
    <xf numFmtId="0" fontId="26" fillId="0" borderId="26" xfId="0" applyFont="1" applyBorder="1"/>
    <xf numFmtId="0" fontId="26" fillId="0" borderId="25" xfId="0" applyFont="1" applyBorder="1" applyAlignment="1">
      <alignment horizontal="center"/>
    </xf>
    <xf numFmtId="0" fontId="29" fillId="0" borderId="27" xfId="0" applyFont="1" applyBorder="1" applyAlignment="1">
      <alignment horizontal="center" wrapText="1"/>
    </xf>
    <xf numFmtId="181" fontId="26" fillId="0" borderId="0" xfId="0" applyNumberFormat="1" applyFont="1"/>
    <xf numFmtId="181" fontId="34" fillId="0" borderId="0" xfId="0" applyNumberFormat="1" applyFont="1"/>
    <xf numFmtId="181" fontId="26" fillId="0" borderId="11" xfId="0" applyNumberFormat="1" applyFont="1" applyBorder="1"/>
    <xf numFmtId="13" fontId="26" fillId="6" borderId="21" xfId="0" applyNumberFormat="1" applyFont="1" applyFill="1" applyBorder="1" applyAlignment="1">
      <alignment horizontal="center"/>
    </xf>
    <xf numFmtId="13" fontId="26" fillId="0" borderId="0" xfId="0" applyNumberFormat="1" applyFont="1" applyAlignment="1">
      <alignment horizontal="center"/>
    </xf>
    <xf numFmtId="13" fontId="26" fillId="0" borderId="11" xfId="0" applyNumberFormat="1" applyFont="1" applyBorder="1" applyAlignment="1">
      <alignment horizontal="center"/>
    </xf>
    <xf numFmtId="0" fontId="34" fillId="0" borderId="22" xfId="0" applyFont="1" applyBorder="1" applyAlignment="1">
      <alignment horizontal="left"/>
    </xf>
    <xf numFmtId="172" fontId="26" fillId="0" borderId="23" xfId="0" applyNumberFormat="1" applyFont="1" applyBorder="1" applyAlignment="1">
      <alignment horizontal="center"/>
    </xf>
    <xf numFmtId="183" fontId="26" fillId="0" borderId="24" xfId="0" applyNumberFormat="1" applyFont="1" applyBorder="1" applyAlignment="1">
      <alignment horizontal="center"/>
    </xf>
    <xf numFmtId="183" fontId="26" fillId="0" borderId="11" xfId="0" applyNumberFormat="1" applyFont="1" applyBorder="1" applyAlignment="1">
      <alignment horizontal="center"/>
    </xf>
    <xf numFmtId="176" fontId="26" fillId="6" borderId="21" xfId="0" applyNumberFormat="1" applyFont="1" applyFill="1" applyBorder="1" applyAlignment="1">
      <alignment horizontal="center"/>
    </xf>
    <xf numFmtId="176" fontId="26" fillId="0" borderId="0" xfId="0" applyNumberFormat="1" applyFont="1" applyAlignment="1">
      <alignment horizontal="center"/>
    </xf>
    <xf numFmtId="176" fontId="26" fillId="0" borderId="11" xfId="0" applyNumberFormat="1" applyFont="1" applyBorder="1" applyAlignment="1">
      <alignment horizontal="center"/>
    </xf>
    <xf numFmtId="171" fontId="26" fillId="0" borderId="23" xfId="0" applyNumberFormat="1" applyFont="1" applyBorder="1" applyAlignment="1">
      <alignment horizontal="center"/>
    </xf>
    <xf numFmtId="174" fontId="26" fillId="0" borderId="24" xfId="0" applyNumberFormat="1" applyFont="1" applyBorder="1" applyAlignment="1">
      <alignment horizontal="center"/>
    </xf>
    <xf numFmtId="174" fontId="26" fillId="0" borderId="0" xfId="0" applyNumberFormat="1" applyFont="1" applyAlignment="1">
      <alignment horizontal="center"/>
    </xf>
    <xf numFmtId="174" fontId="26" fillId="0" borderId="11" xfId="0" applyNumberFormat="1" applyFont="1" applyBorder="1" applyAlignment="1">
      <alignment horizontal="center"/>
    </xf>
    <xf numFmtId="0" fontId="51" fillId="0" borderId="0" xfId="0" applyFont="1" applyAlignment="1">
      <alignment vertical="center"/>
    </xf>
    <xf numFmtId="0" fontId="52" fillId="0" borderId="0" xfId="0" applyFont="1" applyAlignment="1">
      <alignment vertical="center"/>
    </xf>
    <xf numFmtId="0" fontId="53" fillId="0" borderId="0" xfId="1" applyFont="1" applyAlignment="1" applyProtection="1">
      <alignment vertical="center"/>
    </xf>
    <xf numFmtId="0" fontId="52" fillId="0" borderId="0" xfId="0" applyFont="1" applyAlignment="1">
      <alignment horizontal="right" vertical="center"/>
    </xf>
    <xf numFmtId="0" fontId="54" fillId="3" borderId="0" xfId="0" applyFont="1" applyFill="1" applyAlignment="1">
      <alignment vertical="center"/>
    </xf>
    <xf numFmtId="0" fontId="52" fillId="3" borderId="0" xfId="0" applyFont="1" applyFill="1" applyAlignment="1">
      <alignment vertical="center"/>
    </xf>
    <xf numFmtId="0" fontId="56" fillId="0" borderId="26" xfId="0" applyFont="1" applyBorder="1" applyAlignment="1">
      <alignment vertical="center"/>
    </xf>
    <xf numFmtId="0" fontId="52" fillId="0" borderId="25" xfId="0" applyFont="1" applyBorder="1" applyAlignment="1">
      <alignment vertical="center"/>
    </xf>
    <xf numFmtId="2" fontId="52" fillId="0" borderId="15" xfId="0" applyNumberFormat="1" applyFont="1" applyBorder="1" applyAlignment="1">
      <alignment vertical="center"/>
    </xf>
    <xf numFmtId="0" fontId="52" fillId="0" borderId="15" xfId="0" applyFont="1" applyBorder="1" applyAlignment="1">
      <alignment vertical="center"/>
    </xf>
    <xf numFmtId="0" fontId="52" fillId="0" borderId="11" xfId="0" applyFont="1" applyBorder="1" applyAlignment="1">
      <alignment vertical="center"/>
    </xf>
    <xf numFmtId="0" fontId="57" fillId="0" borderId="20" xfId="0" applyFont="1" applyBorder="1" applyAlignment="1">
      <alignment vertical="center"/>
    </xf>
    <xf numFmtId="2" fontId="58" fillId="0" borderId="3" xfId="0" applyNumberFormat="1" applyFont="1" applyBorder="1" applyAlignment="1">
      <alignment vertical="center"/>
    </xf>
    <xf numFmtId="0" fontId="52" fillId="0" borderId="20" xfId="0" applyFont="1" applyBorder="1" applyAlignment="1">
      <alignment vertical="center"/>
    </xf>
    <xf numFmtId="2" fontId="52" fillId="4" borderId="3" xfId="0" applyNumberFormat="1" applyFont="1" applyFill="1" applyBorder="1" applyAlignment="1" applyProtection="1">
      <alignment vertical="center"/>
      <protection locked="0"/>
    </xf>
    <xf numFmtId="0" fontId="52" fillId="0" borderId="12" xfId="0" applyFont="1" applyBorder="1" applyAlignment="1">
      <alignment vertical="center"/>
    </xf>
    <xf numFmtId="0" fontId="58" fillId="0" borderId="12" xfId="0" applyFont="1" applyBorder="1" applyAlignment="1">
      <alignment vertical="center"/>
    </xf>
    <xf numFmtId="0" fontId="52" fillId="0" borderId="16" xfId="0" applyFont="1" applyBorder="1" applyAlignment="1">
      <alignment vertical="center"/>
    </xf>
    <xf numFmtId="0" fontId="52" fillId="0" borderId="17" xfId="0" applyFont="1" applyBorder="1" applyAlignment="1">
      <alignment vertical="center"/>
    </xf>
    <xf numFmtId="0" fontId="52" fillId="0" borderId="13" xfId="0" applyFont="1" applyBorder="1" applyAlignment="1">
      <alignment vertical="center"/>
    </xf>
    <xf numFmtId="0" fontId="58" fillId="0" borderId="25" xfId="0" applyFont="1" applyBorder="1" applyAlignment="1">
      <alignment horizontal="center" vertical="center"/>
    </xf>
    <xf numFmtId="2" fontId="58" fillId="0" borderId="25" xfId="0" applyNumberFormat="1" applyFont="1" applyBorder="1" applyAlignment="1">
      <alignment vertical="center"/>
    </xf>
    <xf numFmtId="0" fontId="58" fillId="0" borderId="27" xfId="0" applyFont="1" applyBorder="1" applyAlignment="1">
      <alignment vertical="center"/>
    </xf>
    <xf numFmtId="203" fontId="52" fillId="4" borderId="3" xfId="0" applyNumberFormat="1" applyFont="1" applyFill="1" applyBorder="1" applyAlignment="1" applyProtection="1">
      <alignment horizontal="center" vertical="center"/>
      <protection locked="0"/>
    </xf>
    <xf numFmtId="2" fontId="57" fillId="0" borderId="3" xfId="0" applyNumberFormat="1" applyFont="1" applyBorder="1" applyAlignment="1">
      <alignment horizontal="center" vertical="center" wrapText="1"/>
    </xf>
    <xf numFmtId="188" fontId="52" fillId="4" borderId="3" xfId="0" applyNumberFormat="1" applyFont="1" applyFill="1" applyBorder="1" applyAlignment="1" applyProtection="1">
      <alignment horizontal="center" vertical="center"/>
      <protection locked="0"/>
    </xf>
    <xf numFmtId="0" fontId="52" fillId="0" borderId="3" xfId="0" applyFont="1" applyBorder="1" applyAlignment="1">
      <alignment vertical="center"/>
    </xf>
    <xf numFmtId="2" fontId="57" fillId="0" borderId="21" xfId="0" applyNumberFormat="1" applyFont="1" applyBorder="1" applyAlignment="1">
      <alignment horizontal="center" vertical="center" wrapText="1"/>
    </xf>
    <xf numFmtId="167" fontId="52" fillId="0" borderId="23" xfId="0" applyNumberFormat="1" applyFont="1" applyBorder="1" applyAlignment="1">
      <alignment horizontal="right" vertical="center"/>
    </xf>
    <xf numFmtId="181" fontId="52" fillId="0" borderId="24" xfId="0" applyNumberFormat="1" applyFont="1" applyBorder="1" applyAlignment="1">
      <alignment horizontal="right" vertical="center"/>
    </xf>
    <xf numFmtId="0" fontId="57" fillId="0" borderId="0" xfId="0" applyFont="1" applyAlignment="1">
      <alignment vertical="center"/>
    </xf>
    <xf numFmtId="0" fontId="57" fillId="0" borderId="0" xfId="0" applyFont="1" applyAlignment="1">
      <alignment horizontal="center" vertical="center"/>
    </xf>
    <xf numFmtId="167" fontId="52" fillId="0" borderId="0" xfId="0" applyNumberFormat="1" applyFont="1" applyAlignment="1">
      <alignment horizontal="right" vertical="center"/>
    </xf>
    <xf numFmtId="181" fontId="52" fillId="0" borderId="0" xfId="0" applyNumberFormat="1" applyFont="1" applyAlignment="1">
      <alignment horizontal="right" vertical="center"/>
    </xf>
    <xf numFmtId="0" fontId="52" fillId="0" borderId="14" xfId="0" applyFont="1" applyBorder="1" applyAlignment="1">
      <alignment vertical="center"/>
    </xf>
    <xf numFmtId="0" fontId="58" fillId="0" borderId="3" xfId="0" applyFont="1" applyBorder="1" applyAlignment="1">
      <alignment vertical="center"/>
    </xf>
    <xf numFmtId="182" fontId="52" fillId="0" borderId="0" xfId="0" applyNumberFormat="1" applyFont="1" applyAlignment="1">
      <alignment vertical="center"/>
    </xf>
    <xf numFmtId="0" fontId="58" fillId="0" borderId="3" xfId="0" applyFont="1" applyBorder="1" applyAlignment="1">
      <alignment horizontal="center" vertical="center"/>
    </xf>
    <xf numFmtId="0" fontId="56" fillId="0" borderId="8" xfId="0" applyFont="1" applyBorder="1" applyAlignment="1">
      <alignment vertical="center"/>
    </xf>
    <xf numFmtId="0" fontId="52" fillId="0" borderId="4" xfId="0" applyFont="1" applyBorder="1" applyAlignment="1">
      <alignment vertical="center"/>
    </xf>
    <xf numFmtId="2" fontId="52" fillId="0" borderId="4" xfId="0" applyNumberFormat="1" applyFont="1" applyBorder="1" applyAlignment="1">
      <alignment vertical="center"/>
    </xf>
    <xf numFmtId="0" fontId="52" fillId="0" borderId="3" xfId="0" applyFont="1" applyBorder="1" applyAlignment="1">
      <alignment horizontal="center" vertical="center"/>
    </xf>
    <xf numFmtId="2" fontId="52" fillId="0" borderId="3" xfId="0" applyNumberFormat="1" applyFont="1" applyBorder="1" applyAlignment="1">
      <alignment vertical="center"/>
    </xf>
    <xf numFmtId="0" fontId="57" fillId="0" borderId="3" xfId="0" applyFont="1" applyBorder="1" applyAlignment="1">
      <alignment horizontal="center" vertical="center"/>
    </xf>
    <xf numFmtId="0" fontId="52" fillId="0" borderId="3" xfId="0" applyFont="1" applyBorder="1" applyAlignment="1">
      <alignment horizontal="right" vertical="center"/>
    </xf>
    <xf numFmtId="0" fontId="52" fillId="4" borderId="3" xfId="0" applyFont="1" applyFill="1" applyBorder="1" applyAlignment="1" applyProtection="1">
      <alignment vertical="center"/>
      <protection locked="0"/>
    </xf>
    <xf numFmtId="0" fontId="52" fillId="0" borderId="9" xfId="0" applyFont="1" applyBorder="1" applyAlignment="1">
      <alignment vertical="center"/>
    </xf>
    <xf numFmtId="0" fontId="52" fillId="0" borderId="6" xfId="0" applyFont="1" applyBorder="1" applyAlignment="1">
      <alignment vertical="center"/>
    </xf>
    <xf numFmtId="0" fontId="56" fillId="0" borderId="14" xfId="0" applyFont="1" applyBorder="1" applyAlignment="1">
      <alignment vertical="center"/>
    </xf>
    <xf numFmtId="2" fontId="52" fillId="0" borderId="25" xfId="0" applyNumberFormat="1" applyFont="1" applyBorder="1" applyAlignment="1">
      <alignment vertical="center"/>
    </xf>
    <xf numFmtId="0" fontId="60" fillId="0" borderId="25" xfId="0" applyFont="1" applyBorder="1" applyAlignment="1">
      <alignment horizontal="center" vertical="center" wrapText="1"/>
    </xf>
    <xf numFmtId="0" fontId="60" fillId="0" borderId="27" xfId="0" applyFont="1" applyBorder="1" applyAlignment="1">
      <alignment horizontal="center" vertical="center" wrapText="1"/>
    </xf>
    <xf numFmtId="0" fontId="61" fillId="0" borderId="3" xfId="0" applyFont="1" applyBorder="1" applyAlignment="1">
      <alignment horizontal="center" vertical="center"/>
    </xf>
    <xf numFmtId="0" fontId="61" fillId="0" borderId="21" xfId="0" applyFont="1" applyBorder="1" applyAlignment="1">
      <alignment horizontal="center" vertical="center"/>
    </xf>
    <xf numFmtId="2" fontId="57" fillId="0" borderId="3" xfId="0" applyNumberFormat="1" applyFont="1" applyBorder="1" applyAlignment="1">
      <alignment vertical="center"/>
    </xf>
    <xf numFmtId="2" fontId="52" fillId="0" borderId="3" xfId="0" applyNumberFormat="1" applyFont="1" applyBorder="1" applyAlignment="1">
      <alignment horizontal="center" vertical="center"/>
    </xf>
    <xf numFmtId="0" fontId="52" fillId="0" borderId="21" xfId="0" applyFont="1" applyBorder="1" applyAlignment="1">
      <alignment vertical="center"/>
    </xf>
    <xf numFmtId="0" fontId="58" fillId="0" borderId="21" xfId="0" applyFont="1" applyBorder="1" applyAlignment="1">
      <alignment vertical="center"/>
    </xf>
    <xf numFmtId="2" fontId="57" fillId="0" borderId="23" xfId="0" applyNumberFormat="1" applyFont="1" applyBorder="1" applyAlignment="1">
      <alignment vertical="center"/>
    </xf>
    <xf numFmtId="2" fontId="52" fillId="0" borderId="0" xfId="0" applyNumberFormat="1" applyFont="1" applyAlignment="1">
      <alignment vertical="center"/>
    </xf>
    <xf numFmtId="0" fontId="52" fillId="0" borderId="0" xfId="0" applyFont="1" applyAlignment="1">
      <alignment horizontal="center" vertical="center"/>
    </xf>
    <xf numFmtId="0" fontId="56" fillId="0" borderId="12" xfId="0" applyFont="1" applyBorder="1" applyAlignment="1">
      <alignment vertical="center"/>
    </xf>
    <xf numFmtId="0" fontId="57" fillId="0" borderId="12" xfId="0" applyFont="1" applyBorder="1" applyAlignment="1">
      <alignment horizontal="right" vertical="center"/>
    </xf>
    <xf numFmtId="180" fontId="52" fillId="6" borderId="3" xfId="0" applyNumberFormat="1" applyFont="1" applyFill="1" applyBorder="1" applyAlignment="1">
      <alignment vertical="center"/>
    </xf>
    <xf numFmtId="179" fontId="52" fillId="0" borderId="3" xfId="0" applyNumberFormat="1" applyFont="1" applyBorder="1" applyAlignment="1">
      <alignment vertical="center"/>
    </xf>
    <xf numFmtId="179" fontId="52" fillId="6" borderId="3" xfId="0" applyNumberFormat="1" applyFont="1" applyFill="1" applyBorder="1" applyAlignment="1">
      <alignment vertical="center"/>
    </xf>
    <xf numFmtId="180" fontId="52" fillId="0" borderId="3" xfId="0" applyNumberFormat="1" applyFont="1" applyBorder="1" applyAlignment="1">
      <alignment vertical="center"/>
    </xf>
    <xf numFmtId="0" fontId="63" fillId="0" borderId="59" xfId="0" applyFont="1" applyBorder="1" applyAlignment="1">
      <alignment horizontal="center" vertical="center" wrapText="1"/>
    </xf>
    <xf numFmtId="0" fontId="63" fillId="0" borderId="62" xfId="0" applyFont="1" applyBorder="1" applyAlignment="1">
      <alignment horizontal="center" vertical="center" wrapText="1"/>
    </xf>
    <xf numFmtId="0" fontId="64" fillId="0" borderId="63"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70" xfId="0" applyFont="1" applyBorder="1" applyAlignment="1">
      <alignment horizontal="center" vertical="center" wrapText="1"/>
    </xf>
    <xf numFmtId="0" fontId="62" fillId="0" borderId="71" xfId="0" applyFont="1" applyBorder="1" applyAlignment="1">
      <alignment horizontal="center" vertical="center" wrapText="1"/>
    </xf>
    <xf numFmtId="0" fontId="62" fillId="0" borderId="72" xfId="0" applyFont="1" applyBorder="1" applyAlignment="1">
      <alignment horizontal="center" vertical="center" wrapText="1"/>
    </xf>
    <xf numFmtId="0" fontId="62" fillId="0" borderId="73" xfId="0" applyFont="1" applyBorder="1" applyAlignment="1">
      <alignment horizontal="center" vertical="center" wrapText="1"/>
    </xf>
    <xf numFmtId="0" fontId="62" fillId="0" borderId="74" xfId="0" applyFont="1" applyBorder="1" applyAlignment="1">
      <alignment horizontal="center" vertical="center" wrapText="1"/>
    </xf>
    <xf numFmtId="0" fontId="66" fillId="0" borderId="0" xfId="0" applyFont="1" applyAlignment="1">
      <alignment vertical="center" wrapText="1"/>
    </xf>
    <xf numFmtId="227" fontId="0" fillId="0" borderId="3" xfId="0" applyNumberFormat="1" applyBorder="1"/>
    <xf numFmtId="0" fontId="0" fillId="6" borderId="0" xfId="0" applyFill="1"/>
    <xf numFmtId="228" fontId="0" fillId="0" borderId="3" xfId="0" applyNumberFormat="1" applyBorder="1"/>
    <xf numFmtId="0" fontId="67" fillId="0" borderId="75" xfId="0" applyFont="1" applyBorder="1" applyAlignment="1">
      <alignment horizontal="center" vertical="center" wrapText="1"/>
    </xf>
    <xf numFmtId="0" fontId="68" fillId="0" borderId="76" xfId="0" applyFont="1" applyBorder="1" applyAlignment="1">
      <alignment horizontal="center" vertical="center" wrapText="1"/>
    </xf>
    <xf numFmtId="0" fontId="67" fillId="0" borderId="70" xfId="0" applyFont="1" applyBorder="1" applyAlignment="1">
      <alignment horizontal="center" vertical="center" wrapText="1"/>
    </xf>
    <xf numFmtId="0" fontId="67" fillId="0" borderId="71" xfId="0" applyFont="1" applyBorder="1" applyAlignment="1">
      <alignment horizontal="center" vertical="center" wrapText="1"/>
    </xf>
    <xf numFmtId="0" fontId="67" fillId="0" borderId="72" xfId="0" applyFont="1" applyBorder="1" applyAlignment="1">
      <alignment horizontal="center" vertical="center" wrapText="1"/>
    </xf>
    <xf numFmtId="0" fontId="67" fillId="0" borderId="74" xfId="0" applyFont="1" applyBorder="1" applyAlignment="1">
      <alignment horizontal="center" vertical="center" wrapText="1"/>
    </xf>
    <xf numFmtId="0" fontId="71" fillId="0" borderId="70" xfId="0" applyFont="1" applyBorder="1" applyAlignment="1">
      <alignment horizontal="center" vertical="center" wrapText="1"/>
    </xf>
    <xf numFmtId="0" fontId="72" fillId="0" borderId="56" xfId="0" applyFont="1" applyBorder="1" applyAlignment="1">
      <alignment horizontal="center" vertical="center" wrapText="1"/>
    </xf>
    <xf numFmtId="0" fontId="72" fillId="0" borderId="76" xfId="0" applyFont="1" applyBorder="1" applyAlignment="1">
      <alignment horizontal="center" vertical="center" wrapText="1"/>
    </xf>
    <xf numFmtId="0" fontId="10" fillId="0" borderId="64" xfId="0" applyFont="1" applyBorder="1"/>
    <xf numFmtId="0" fontId="10" fillId="0" borderId="65" xfId="0" applyFont="1" applyBorder="1"/>
    <xf numFmtId="0" fontId="10" fillId="0" borderId="66" xfId="0" applyFont="1" applyBorder="1"/>
    <xf numFmtId="0" fontId="71" fillId="0" borderId="62" xfId="0" applyFont="1" applyBorder="1" applyAlignment="1">
      <alignment horizontal="center" vertical="center" wrapText="1"/>
    </xf>
    <xf numFmtId="0" fontId="4" fillId="0" borderId="64" xfId="1" applyBorder="1" applyAlignment="1" applyProtection="1">
      <alignment horizontal="center" vertical="center" wrapText="1"/>
    </xf>
    <xf numFmtId="0" fontId="4" fillId="0" borderId="65" xfId="1" applyBorder="1" applyAlignment="1" applyProtection="1">
      <alignment horizontal="center" vertical="center" wrapText="1"/>
    </xf>
    <xf numFmtId="0" fontId="4" fillId="0" borderId="66" xfId="1" applyBorder="1" applyAlignment="1" applyProtection="1">
      <alignment horizontal="center" vertical="center" wrapText="1"/>
    </xf>
    <xf numFmtId="0" fontId="71" fillId="0" borderId="77" xfId="0" applyFont="1" applyBorder="1" applyAlignment="1">
      <alignment horizontal="center" vertical="center" wrapText="1"/>
    </xf>
    <xf numFmtId="0" fontId="4" fillId="0" borderId="67" xfId="1" applyBorder="1" applyAlignment="1" applyProtection="1">
      <alignment horizontal="center" vertical="center" wrapText="1"/>
    </xf>
    <xf numFmtId="0" fontId="4" fillId="0" borderId="68" xfId="1" applyBorder="1" applyAlignment="1" applyProtection="1">
      <alignment horizontal="center" vertical="center" wrapText="1"/>
    </xf>
    <xf numFmtId="0" fontId="4" fillId="0" borderId="69" xfId="1" applyBorder="1" applyAlignment="1" applyProtection="1">
      <alignment horizontal="center" vertical="center" wrapText="1"/>
    </xf>
    <xf numFmtId="0" fontId="71" fillId="0" borderId="63" xfId="0" applyFont="1" applyBorder="1" applyAlignment="1">
      <alignment horizontal="center" vertical="center" wrapText="1"/>
    </xf>
    <xf numFmtId="0" fontId="72" fillId="0" borderId="67" xfId="0" applyFont="1" applyBorder="1" applyAlignment="1">
      <alignment horizontal="center" vertical="center" wrapText="1"/>
    </xf>
    <xf numFmtId="0" fontId="72" fillId="0" borderId="69" xfId="0" applyFont="1" applyBorder="1" applyAlignment="1">
      <alignment horizontal="center" vertical="center" wrapText="1"/>
    </xf>
    <xf numFmtId="0" fontId="72" fillId="0" borderId="55" xfId="0" applyFont="1" applyBorder="1" applyAlignment="1">
      <alignment horizontal="center" vertical="center" wrapText="1"/>
    </xf>
    <xf numFmtId="0" fontId="72" fillId="0" borderId="80" xfId="0" applyFont="1" applyBorder="1" applyAlignment="1">
      <alignment horizontal="center" vertical="center" wrapText="1"/>
    </xf>
    <xf numFmtId="0" fontId="72" fillId="0" borderId="78" xfId="0" applyFont="1" applyBorder="1" applyAlignment="1">
      <alignment horizontal="center" vertical="center" wrapText="1"/>
    </xf>
    <xf numFmtId="0" fontId="62" fillId="0" borderId="79" xfId="0" applyFont="1" applyBorder="1" applyAlignment="1">
      <alignment horizontal="center" vertical="center" wrapText="1"/>
    </xf>
    <xf numFmtId="0" fontId="62" fillId="0" borderId="55" xfId="0" applyFont="1" applyBorder="1" applyAlignment="1">
      <alignment horizontal="center" vertical="center" wrapText="1"/>
    </xf>
    <xf numFmtId="0" fontId="62" fillId="0" borderId="78" xfId="0" applyFont="1" applyBorder="1" applyAlignment="1">
      <alignment horizontal="center" vertical="center" wrapText="1"/>
    </xf>
    <xf numFmtId="0" fontId="62" fillId="0" borderId="58" xfId="0" applyFont="1" applyBorder="1" applyAlignment="1">
      <alignment horizontal="center" vertical="center" wrapText="1"/>
    </xf>
    <xf numFmtId="0" fontId="62" fillId="0" borderId="56" xfId="0" applyFont="1" applyBorder="1" applyAlignment="1">
      <alignment horizontal="center" vertical="center" wrapText="1"/>
    </xf>
    <xf numFmtId="0" fontId="62" fillId="0" borderId="76" xfId="0" applyFont="1" applyBorder="1" applyAlignment="1">
      <alignment horizontal="center" vertical="center" wrapText="1"/>
    </xf>
    <xf numFmtId="0" fontId="73" fillId="0" borderId="69" xfId="0" applyFont="1" applyBorder="1"/>
    <xf numFmtId="0" fontId="71" fillId="0" borderId="72" xfId="0" applyFont="1" applyBorder="1" applyAlignment="1">
      <alignment horizontal="center" vertical="center" wrapText="1"/>
    </xf>
    <xf numFmtId="0" fontId="71" fillId="0" borderId="54" xfId="0" applyFont="1" applyBorder="1" applyAlignment="1">
      <alignment horizontal="center" vertical="center" wrapText="1"/>
    </xf>
    <xf numFmtId="0" fontId="71" fillId="0" borderId="73" xfId="0" applyFont="1" applyBorder="1" applyAlignment="1">
      <alignment horizontal="center" vertical="center" wrapText="1"/>
    </xf>
    <xf numFmtId="0" fontId="10" fillId="6" borderId="0" xfId="0" applyFont="1" applyFill="1"/>
    <xf numFmtId="194" fontId="2" fillId="0" borderId="21" xfId="0" applyNumberFormat="1" applyFont="1" applyBorder="1"/>
    <xf numFmtId="195" fontId="2" fillId="0" borderId="24" xfId="0" applyNumberFormat="1" applyFont="1" applyBorder="1"/>
    <xf numFmtId="197" fontId="0" fillId="0" borderId="23" xfId="0" applyNumberFormat="1" applyBorder="1"/>
    <xf numFmtId="176" fontId="0" fillId="0" borderId="0" xfId="0" applyNumberFormat="1"/>
    <xf numFmtId="182" fontId="0" fillId="0" borderId="0" xfId="0" applyNumberFormat="1"/>
    <xf numFmtId="0" fontId="2" fillId="0" borderId="0" xfId="0" applyFont="1"/>
    <xf numFmtId="229" fontId="0" fillId="0" borderId="0" xfId="0" applyNumberFormat="1"/>
    <xf numFmtId="190" fontId="0" fillId="6" borderId="0" xfId="0" applyNumberFormat="1" applyFill="1"/>
    <xf numFmtId="0" fontId="26" fillId="0" borderId="3" xfId="0" applyFont="1" applyBorder="1" applyAlignment="1">
      <alignment horizontal="center"/>
    </xf>
    <xf numFmtId="0" fontId="26" fillId="9" borderId="3" xfId="0" applyFont="1" applyFill="1" applyBorder="1"/>
    <xf numFmtId="172" fontId="26" fillId="9" borderId="3" xfId="0" applyNumberFormat="1" applyFont="1" applyFill="1" applyBorder="1" applyAlignment="1">
      <alignment horizontal="center"/>
    </xf>
    <xf numFmtId="0" fontId="26" fillId="8" borderId="3" xfId="0" applyFont="1" applyFill="1" applyBorder="1"/>
    <xf numFmtId="172" fontId="26" fillId="8" borderId="3" xfId="0" applyNumberFormat="1" applyFont="1" applyFill="1" applyBorder="1" applyAlignment="1">
      <alignment horizontal="center"/>
    </xf>
    <xf numFmtId="0" fontId="26" fillId="10" borderId="3" xfId="0" applyFont="1" applyFill="1" applyBorder="1"/>
    <xf numFmtId="172" fontId="26" fillId="10" borderId="3" xfId="0" applyNumberFormat="1" applyFont="1" applyFill="1" applyBorder="1" applyAlignment="1">
      <alignment horizontal="center"/>
    </xf>
    <xf numFmtId="0" fontId="26" fillId="11" borderId="3" xfId="0" applyFont="1" applyFill="1" applyBorder="1"/>
    <xf numFmtId="172" fontId="26" fillId="11" borderId="3" xfId="0" applyNumberFormat="1" applyFont="1" applyFill="1" applyBorder="1" applyAlignment="1">
      <alignment horizontal="center"/>
    </xf>
    <xf numFmtId="0" fontId="26" fillId="13" borderId="3" xfId="0" applyFont="1" applyFill="1" applyBorder="1"/>
    <xf numFmtId="172" fontId="26" fillId="13" borderId="3" xfId="0" applyNumberFormat="1" applyFont="1" applyFill="1" applyBorder="1" applyAlignment="1">
      <alignment horizontal="center"/>
    </xf>
    <xf numFmtId="0" fontId="26" fillId="7" borderId="3" xfId="0" applyFont="1" applyFill="1" applyBorder="1"/>
    <xf numFmtId="172" fontId="26" fillId="7" borderId="3" xfId="0" applyNumberFormat="1" applyFont="1" applyFill="1" applyBorder="1" applyAlignment="1">
      <alignment horizontal="center"/>
    </xf>
    <xf numFmtId="0" fontId="26" fillId="14" borderId="3" xfId="0" applyFont="1" applyFill="1" applyBorder="1"/>
    <xf numFmtId="172" fontId="26" fillId="14" borderId="3" xfId="0" applyNumberFormat="1" applyFont="1" applyFill="1" applyBorder="1" applyAlignment="1">
      <alignment horizontal="center"/>
    </xf>
    <xf numFmtId="0" fontId="26" fillId="12" borderId="3" xfId="0" applyFont="1" applyFill="1" applyBorder="1"/>
    <xf numFmtId="172" fontId="26" fillId="12" borderId="3" xfId="0" applyNumberFormat="1" applyFont="1" applyFill="1" applyBorder="1" applyAlignment="1">
      <alignment horizontal="center"/>
    </xf>
    <xf numFmtId="0" fontId="26" fillId="15" borderId="3" xfId="0" applyFont="1" applyFill="1" applyBorder="1" applyAlignment="1">
      <alignment vertical="top" wrapText="1"/>
    </xf>
    <xf numFmtId="172" fontId="26" fillId="15" borderId="3" xfId="0" applyNumberFormat="1" applyFont="1" applyFill="1" applyBorder="1" applyAlignment="1">
      <alignment horizontal="center"/>
    </xf>
    <xf numFmtId="0" fontId="26" fillId="9" borderId="3" xfId="0" applyFont="1" applyFill="1" applyBorder="1" applyAlignment="1">
      <alignment wrapText="1"/>
    </xf>
    <xf numFmtId="0" fontId="26" fillId="8" borderId="3" xfId="0" applyFont="1" applyFill="1" applyBorder="1" applyAlignment="1">
      <alignment wrapText="1"/>
    </xf>
    <xf numFmtId="0" fontId="10" fillId="7" borderId="3" xfId="0" applyFont="1" applyFill="1" applyBorder="1"/>
    <xf numFmtId="0" fontId="29" fillId="8" borderId="3" xfId="0" applyFont="1" applyFill="1" applyBorder="1"/>
    <xf numFmtId="0" fontId="0" fillId="8" borderId="3" xfId="0" applyFill="1" applyBorder="1"/>
    <xf numFmtId="0" fontId="0" fillId="12" borderId="3" xfId="0" applyFill="1" applyBorder="1"/>
    <xf numFmtId="0" fontId="34" fillId="11" borderId="3" xfId="0" applyFont="1" applyFill="1" applyBorder="1"/>
    <xf numFmtId="0" fontId="0" fillId="15" borderId="3" xfId="0" applyFill="1" applyBorder="1" applyAlignment="1">
      <alignment vertical="top" wrapText="1"/>
    </xf>
    <xf numFmtId="226" fontId="26" fillId="9" borderId="3" xfId="0" applyNumberFormat="1" applyFont="1" applyFill="1" applyBorder="1" applyAlignment="1">
      <alignment horizontal="center"/>
    </xf>
    <xf numFmtId="0" fontId="2" fillId="0" borderId="0" xfId="0" applyFont="1" applyAlignment="1">
      <alignment horizontal="center"/>
    </xf>
    <xf numFmtId="0" fontId="0" fillId="7" borderId="49" xfId="0" applyFill="1" applyBorder="1"/>
    <xf numFmtId="0" fontId="0" fillId="6" borderId="37" xfId="0" applyFill="1" applyBorder="1"/>
    <xf numFmtId="230" fontId="0" fillId="6" borderId="3" xfId="0" applyNumberFormat="1" applyFill="1" applyBorder="1"/>
    <xf numFmtId="231" fontId="2" fillId="0" borderId="0" xfId="0" applyNumberFormat="1" applyFont="1" applyAlignment="1">
      <alignment horizontal="center"/>
    </xf>
    <xf numFmtId="0" fontId="74" fillId="0" borderId="0" xfId="0" applyFont="1"/>
    <xf numFmtId="0" fontId="75" fillId="0" borderId="0" xfId="0" applyFont="1"/>
    <xf numFmtId="0" fontId="76" fillId="0" borderId="0" xfId="0" applyFont="1"/>
    <xf numFmtId="0" fontId="22" fillId="0" borderId="81" xfId="0" applyFont="1" applyBorder="1" applyAlignment="1">
      <alignment wrapText="1"/>
    </xf>
    <xf numFmtId="0" fontId="2" fillId="17" borderId="0" xfId="0" applyFont="1" applyFill="1" applyAlignment="1">
      <alignment horizontal="center"/>
    </xf>
    <xf numFmtId="0" fontId="2" fillId="17" borderId="0" xfId="0" applyFont="1" applyFill="1" applyAlignment="1">
      <alignment horizontal="left" wrapText="1"/>
    </xf>
    <xf numFmtId="0" fontId="0" fillId="0" borderId="82" xfId="0" applyBorder="1" applyAlignment="1">
      <alignment wrapText="1"/>
    </xf>
    <xf numFmtId="0" fontId="22" fillId="0" borderId="82" xfId="0" applyFont="1" applyBorder="1" applyAlignment="1">
      <alignment wrapText="1"/>
    </xf>
    <xf numFmtId="0" fontId="10" fillId="17" borderId="0" xfId="0" applyFont="1" applyFill="1" applyAlignment="1">
      <alignment horizontal="center"/>
    </xf>
    <xf numFmtId="0" fontId="0" fillId="0" borderId="83" xfId="0" applyBorder="1" applyAlignment="1">
      <alignment wrapText="1"/>
    </xf>
    <xf numFmtId="0" fontId="78" fillId="0" borderId="0" xfId="0" applyFont="1"/>
    <xf numFmtId="230" fontId="22" fillId="0" borderId="0" xfId="0" applyNumberFormat="1" applyFont="1"/>
    <xf numFmtId="231" fontId="22" fillId="0" borderId="0" xfId="0" applyNumberFormat="1" applyFont="1"/>
    <xf numFmtId="0" fontId="79" fillId="0" borderId="0" xfId="0" applyFont="1"/>
    <xf numFmtId="0" fontId="62" fillId="0" borderId="0" xfId="0" applyFont="1" applyAlignment="1">
      <alignment vertical="center" wrapText="1"/>
    </xf>
    <xf numFmtId="0" fontId="42" fillId="0" borderId="0" xfId="0" applyFont="1"/>
    <xf numFmtId="185" fontId="0" fillId="6" borderId="0" xfId="0" applyNumberFormat="1" applyFill="1"/>
    <xf numFmtId="181" fontId="0" fillId="6" borderId="0" xfId="0" applyNumberFormat="1" applyFill="1"/>
    <xf numFmtId="168" fontId="0" fillId="6" borderId="0" xfId="0" applyNumberFormat="1" applyFill="1"/>
    <xf numFmtId="192" fontId="0" fillId="6" borderId="0" xfId="0" applyNumberFormat="1" applyFill="1"/>
    <xf numFmtId="185" fontId="0" fillId="0" borderId="0" xfId="0" applyNumberFormat="1"/>
    <xf numFmtId="0" fontId="10" fillId="13" borderId="3" xfId="0" applyFont="1" applyFill="1" applyBorder="1"/>
    <xf numFmtId="0" fontId="10" fillId="15" borderId="3" xfId="0" applyFont="1" applyFill="1" applyBorder="1" applyAlignment="1">
      <alignment vertical="top" wrapText="1"/>
    </xf>
    <xf numFmtId="0" fontId="10" fillId="9" borderId="3" xfId="0" applyFont="1" applyFill="1" applyBorder="1"/>
    <xf numFmtId="0" fontId="10" fillId="8" borderId="3" xfId="0" applyFont="1" applyFill="1" applyBorder="1"/>
    <xf numFmtId="225" fontId="0" fillId="6" borderId="0" xfId="0" applyNumberFormat="1" applyFill="1"/>
    <xf numFmtId="191" fontId="0" fillId="0" borderId="0" xfId="0" applyNumberFormat="1"/>
    <xf numFmtId="190" fontId="0" fillId="0" borderId="0" xfId="0" applyNumberFormat="1"/>
    <xf numFmtId="0" fontId="10" fillId="0" borderId="3" xfId="0" applyFont="1" applyBorder="1"/>
    <xf numFmtId="180" fontId="0" fillId="6" borderId="3" xfId="0" applyNumberFormat="1" applyFill="1" applyBorder="1"/>
    <xf numFmtId="232" fontId="0" fillId="0" borderId="3" xfId="0" applyNumberFormat="1" applyBorder="1"/>
    <xf numFmtId="201" fontId="0" fillId="6" borderId="3" xfId="0" applyNumberFormat="1" applyFill="1" applyBorder="1"/>
    <xf numFmtId="233" fontId="0" fillId="0" borderId="3" xfId="0" applyNumberFormat="1" applyBorder="1"/>
    <xf numFmtId="166" fontId="0" fillId="0" borderId="3" xfId="0" applyNumberFormat="1" applyBorder="1"/>
    <xf numFmtId="166" fontId="0" fillId="6" borderId="3" xfId="0" applyNumberFormat="1" applyFill="1" applyBorder="1"/>
    <xf numFmtId="0" fontId="10" fillId="0" borderId="1" xfId="0" applyFont="1" applyBorder="1"/>
    <xf numFmtId="168" fontId="0" fillId="0" borderId="35" xfId="0" applyNumberFormat="1" applyBorder="1"/>
    <xf numFmtId="234" fontId="0" fillId="0" borderId="49" xfId="0" applyNumberFormat="1" applyBorder="1"/>
    <xf numFmtId="235" fontId="0" fillId="6" borderId="3" xfId="0" applyNumberFormat="1" applyFill="1" applyBorder="1"/>
    <xf numFmtId="236" fontId="0" fillId="6" borderId="3" xfId="0" applyNumberFormat="1" applyFill="1" applyBorder="1"/>
    <xf numFmtId="0" fontId="80" fillId="0" borderId="56" xfId="0" applyFont="1" applyBorder="1" applyAlignment="1">
      <alignment horizontal="center" vertical="center" wrapText="1"/>
    </xf>
    <xf numFmtId="0" fontId="80" fillId="0" borderId="76" xfId="0" applyFont="1" applyBorder="1" applyAlignment="1">
      <alignment horizontal="center" vertical="center" wrapText="1"/>
    </xf>
    <xf numFmtId="0" fontId="80" fillId="0" borderId="85" xfId="0" applyFont="1" applyBorder="1" applyAlignment="1">
      <alignment horizontal="center" vertical="center" wrapText="1"/>
    </xf>
    <xf numFmtId="0" fontId="62" fillId="0" borderId="0" xfId="0" applyFont="1" applyAlignment="1">
      <alignment horizontal="center" vertical="center" wrapText="1"/>
    </xf>
    <xf numFmtId="0" fontId="81" fillId="0" borderId="59" xfId="0" applyFont="1" applyBorder="1" applyAlignment="1">
      <alignment horizontal="center" vertical="center" wrapText="1"/>
    </xf>
    <xf numFmtId="0" fontId="82" fillId="0" borderId="55" xfId="0" applyFont="1" applyBorder="1" applyAlignment="1">
      <alignment horizontal="center" vertical="center" wrapText="1"/>
    </xf>
    <xf numFmtId="0" fontId="82" fillId="0" borderId="56" xfId="0" applyFont="1" applyBorder="1" applyAlignment="1">
      <alignment horizontal="center" vertical="center" wrapText="1"/>
    </xf>
    <xf numFmtId="0" fontId="82" fillId="0" borderId="78" xfId="0" applyFont="1" applyBorder="1" applyAlignment="1">
      <alignment horizontal="center" vertical="center" wrapText="1"/>
    </xf>
    <xf numFmtId="0" fontId="82" fillId="0" borderId="76" xfId="0" applyFont="1" applyBorder="1" applyAlignment="1">
      <alignment horizontal="center" vertical="center" wrapText="1"/>
    </xf>
    <xf numFmtId="0" fontId="82" fillId="0" borderId="79" xfId="0" applyFont="1" applyBorder="1" applyAlignment="1">
      <alignment horizontal="center" vertical="center" wrapText="1"/>
    </xf>
    <xf numFmtId="0" fontId="82" fillId="0" borderId="58" xfId="0" applyFont="1" applyBorder="1" applyAlignment="1">
      <alignment horizontal="center" vertical="center" wrapText="1"/>
    </xf>
    <xf numFmtId="0" fontId="82" fillId="0" borderId="84" xfId="0" applyFont="1" applyBorder="1" applyAlignment="1">
      <alignment horizontal="center" vertical="center" wrapText="1"/>
    </xf>
    <xf numFmtId="0" fontId="84" fillId="0" borderId="0" xfId="0" applyFont="1" applyAlignment="1">
      <alignment horizontal="left" vertical="center" wrapText="1" indent="1"/>
    </xf>
    <xf numFmtId="0" fontId="0" fillId="0" borderId="25" xfId="0" applyBorder="1" applyAlignment="1">
      <alignment horizontal="center"/>
    </xf>
    <xf numFmtId="0" fontId="0" fillId="0" borderId="27" xfId="0" applyBorder="1" applyAlignment="1">
      <alignment horizontal="center"/>
    </xf>
    <xf numFmtId="236" fontId="26" fillId="6" borderId="0" xfId="0" applyNumberFormat="1" applyFont="1" applyFill="1" applyAlignment="1">
      <alignment horizontal="right"/>
    </xf>
    <xf numFmtId="0" fontId="10" fillId="0" borderId="3" xfId="0" applyFont="1" applyBorder="1" applyAlignment="1">
      <alignment horizontal="center"/>
    </xf>
    <xf numFmtId="237" fontId="0" fillId="6" borderId="0" xfId="0" applyNumberFormat="1" applyFill="1"/>
    <xf numFmtId="238" fontId="0" fillId="6" borderId="6" xfId="0" applyNumberFormat="1" applyFill="1" applyBorder="1"/>
    <xf numFmtId="238" fontId="0" fillId="6" borderId="0" xfId="0" applyNumberFormat="1" applyFill="1"/>
    <xf numFmtId="0" fontId="0" fillId="0" borderId="26" xfId="0" applyBorder="1" applyAlignment="1">
      <alignment horizontal="center"/>
    </xf>
    <xf numFmtId="0" fontId="87" fillId="0" borderId="3" xfId="0" applyFont="1" applyBorder="1" applyAlignment="1">
      <alignment horizontal="center"/>
    </xf>
    <xf numFmtId="237" fontId="0" fillId="6" borderId="20" xfId="0" applyNumberFormat="1" applyFill="1" applyBorder="1"/>
    <xf numFmtId="240" fontId="0" fillId="0" borderId="3" xfId="0" applyNumberFormat="1" applyBorder="1"/>
    <xf numFmtId="239" fontId="0" fillId="0" borderId="21" xfId="0" applyNumberFormat="1" applyBorder="1"/>
    <xf numFmtId="237" fontId="0" fillId="0" borderId="3" xfId="0" applyNumberFormat="1" applyBorder="1"/>
    <xf numFmtId="239" fontId="0" fillId="0" borderId="3" xfId="0" applyNumberFormat="1" applyBorder="1"/>
    <xf numFmtId="212" fontId="10" fillId="16" borderId="3" xfId="0" applyNumberFormat="1" applyFont="1" applyFill="1" applyBorder="1" applyAlignment="1">
      <alignment horizontal="center"/>
    </xf>
    <xf numFmtId="189" fontId="10" fillId="16" borderId="3" xfId="0" applyNumberFormat="1" applyFont="1" applyFill="1" applyBorder="1" applyAlignment="1">
      <alignment horizontal="center"/>
    </xf>
    <xf numFmtId="0" fontId="10" fillId="16" borderId="3" xfId="0" applyFont="1" applyFill="1" applyBorder="1" applyAlignment="1">
      <alignment horizontal="center"/>
    </xf>
    <xf numFmtId="211" fontId="10" fillId="16" borderId="3" xfId="0" applyNumberFormat="1" applyFont="1" applyFill="1" applyBorder="1" applyAlignment="1">
      <alignment horizontal="center"/>
    </xf>
    <xf numFmtId="215" fontId="10" fillId="0" borderId="3" xfId="0" applyNumberFormat="1" applyFont="1" applyBorder="1" applyAlignment="1">
      <alignment horizontal="center"/>
    </xf>
    <xf numFmtId="237" fontId="0" fillId="0" borderId="35" xfId="0" applyNumberFormat="1" applyBorder="1"/>
    <xf numFmtId="240" fontId="0" fillId="0" borderId="35" xfId="0" applyNumberFormat="1" applyBorder="1"/>
    <xf numFmtId="239" fontId="0" fillId="0" borderId="35" xfId="0" applyNumberFormat="1" applyBorder="1"/>
    <xf numFmtId="212" fontId="10" fillId="16" borderId="35" xfId="0" applyNumberFormat="1" applyFont="1" applyFill="1" applyBorder="1" applyAlignment="1">
      <alignment horizontal="center"/>
    </xf>
    <xf numFmtId="189" fontId="10" fillId="16" borderId="35" xfId="0" applyNumberFormat="1" applyFont="1" applyFill="1" applyBorder="1" applyAlignment="1">
      <alignment horizontal="center"/>
    </xf>
    <xf numFmtId="0" fontId="10" fillId="16" borderId="35" xfId="0" applyFont="1" applyFill="1" applyBorder="1" applyAlignment="1">
      <alignment horizontal="center"/>
    </xf>
    <xf numFmtId="211" fontId="10" fillId="16" borderId="35" xfId="0" applyNumberFormat="1" applyFont="1" applyFill="1" applyBorder="1" applyAlignment="1">
      <alignment horizontal="center"/>
    </xf>
    <xf numFmtId="215" fontId="10" fillId="0" borderId="35" xfId="0" applyNumberFormat="1" applyFont="1" applyBorder="1" applyAlignment="1">
      <alignment horizontal="center"/>
    </xf>
    <xf numFmtId="237" fontId="0" fillId="18" borderId="26" xfId="0" applyNumberFormat="1" applyFill="1" applyBorder="1"/>
    <xf numFmtId="240" fontId="0" fillId="18" borderId="25" xfId="0" applyNumberFormat="1" applyFill="1" applyBorder="1"/>
    <xf numFmtId="239" fontId="0" fillId="18" borderId="27" xfId="0" applyNumberFormat="1" applyFill="1" applyBorder="1"/>
    <xf numFmtId="212" fontId="10" fillId="18" borderId="26" xfId="0" applyNumberFormat="1" applyFont="1" applyFill="1" applyBorder="1" applyAlignment="1">
      <alignment horizontal="center"/>
    </xf>
    <xf numFmtId="189" fontId="10" fillId="18" borderId="25" xfId="0" applyNumberFormat="1" applyFont="1" applyFill="1" applyBorder="1" applyAlignment="1">
      <alignment horizontal="center"/>
    </xf>
    <xf numFmtId="0" fontId="10" fillId="18" borderId="25" xfId="0" applyFont="1" applyFill="1" applyBorder="1" applyAlignment="1">
      <alignment horizontal="center"/>
    </xf>
    <xf numFmtId="211" fontId="10" fillId="18" borderId="25" xfId="0" applyNumberFormat="1" applyFont="1" applyFill="1" applyBorder="1" applyAlignment="1">
      <alignment horizontal="center"/>
    </xf>
    <xf numFmtId="215" fontId="10" fillId="18" borderId="25" xfId="0" applyNumberFormat="1" applyFont="1" applyFill="1" applyBorder="1" applyAlignment="1">
      <alignment horizontal="center"/>
    </xf>
    <xf numFmtId="211" fontId="10" fillId="18" borderId="27" xfId="0" applyNumberFormat="1" applyFont="1" applyFill="1" applyBorder="1" applyAlignment="1">
      <alignment horizontal="center"/>
    </xf>
    <xf numFmtId="237" fontId="0" fillId="18" borderId="20" xfId="0" applyNumberFormat="1" applyFill="1" applyBorder="1"/>
    <xf numFmtId="240" fontId="0" fillId="18" borderId="3" xfId="0" applyNumberFormat="1" applyFill="1" applyBorder="1"/>
    <xf numFmtId="239" fontId="0" fillId="18" borderId="21" xfId="0" applyNumberFormat="1" applyFill="1" applyBorder="1"/>
    <xf numFmtId="212" fontId="10" fillId="18" borderId="20" xfId="0" applyNumberFormat="1" applyFont="1" applyFill="1" applyBorder="1" applyAlignment="1">
      <alignment horizontal="center"/>
    </xf>
    <xf numFmtId="189" fontId="10" fillId="18" borderId="3" xfId="0" applyNumberFormat="1" applyFont="1" applyFill="1" applyBorder="1" applyAlignment="1">
      <alignment horizontal="center"/>
    </xf>
    <xf numFmtId="0" fontId="10" fillId="18" borderId="3" xfId="0" applyFont="1" applyFill="1" applyBorder="1" applyAlignment="1">
      <alignment horizontal="center"/>
    </xf>
    <xf numFmtId="211" fontId="10" fillId="18" borderId="3" xfId="0" applyNumberFormat="1" applyFont="1" applyFill="1" applyBorder="1" applyAlignment="1">
      <alignment horizontal="center"/>
    </xf>
    <xf numFmtId="215" fontId="10" fillId="18" borderId="3" xfId="0" applyNumberFormat="1" applyFont="1" applyFill="1" applyBorder="1" applyAlignment="1">
      <alignment horizontal="center"/>
    </xf>
    <xf numFmtId="211" fontId="10" fillId="18" borderId="21" xfId="0" applyNumberFormat="1" applyFont="1" applyFill="1" applyBorder="1" applyAlignment="1">
      <alignment horizontal="center"/>
    </xf>
    <xf numFmtId="237" fontId="0" fillId="18" borderId="22" xfId="0" applyNumberFormat="1" applyFill="1" applyBorder="1"/>
    <xf numFmtId="240" fontId="0" fillId="18" borderId="23" xfId="0" applyNumberFormat="1" applyFill="1" applyBorder="1"/>
    <xf numFmtId="239" fontId="0" fillId="18" borderId="24" xfId="0" applyNumberFormat="1" applyFill="1" applyBorder="1"/>
    <xf numFmtId="212" fontId="10" fillId="18" borderId="22" xfId="0" applyNumberFormat="1" applyFont="1" applyFill="1" applyBorder="1" applyAlignment="1">
      <alignment horizontal="center"/>
    </xf>
    <xf numFmtId="189" fontId="10" fillId="18" borderId="23" xfId="0" applyNumberFormat="1" applyFont="1" applyFill="1" applyBorder="1" applyAlignment="1">
      <alignment horizontal="center"/>
    </xf>
    <xf numFmtId="0" fontId="10" fillId="18" borderId="23" xfId="0" applyFont="1" applyFill="1" applyBorder="1" applyAlignment="1">
      <alignment horizontal="center"/>
    </xf>
    <xf numFmtId="211" fontId="10" fillId="18" borderId="23" xfId="0" applyNumberFormat="1" applyFont="1" applyFill="1" applyBorder="1" applyAlignment="1">
      <alignment horizontal="center"/>
    </xf>
    <xf numFmtId="215" fontId="10" fillId="18" borderId="23" xfId="0" applyNumberFormat="1" applyFont="1" applyFill="1" applyBorder="1" applyAlignment="1">
      <alignment horizontal="center"/>
    </xf>
    <xf numFmtId="211" fontId="10" fillId="18" borderId="24" xfId="0" applyNumberFormat="1" applyFont="1" applyFill="1" applyBorder="1" applyAlignment="1">
      <alignment horizontal="center"/>
    </xf>
    <xf numFmtId="237" fontId="0" fillId="0" borderId="37" xfId="0" applyNumberFormat="1" applyBorder="1"/>
    <xf numFmtId="240" fontId="0" fillId="0" borderId="37" xfId="0" applyNumberFormat="1" applyBorder="1"/>
    <xf numFmtId="239" fontId="0" fillId="0" borderId="37" xfId="0" applyNumberFormat="1" applyBorder="1"/>
    <xf numFmtId="212" fontId="10" fillId="16" borderId="37" xfId="0" applyNumberFormat="1" applyFont="1" applyFill="1" applyBorder="1" applyAlignment="1">
      <alignment horizontal="center"/>
    </xf>
    <xf numFmtId="189" fontId="10" fillId="16" borderId="37" xfId="0" applyNumberFormat="1" applyFont="1" applyFill="1" applyBorder="1" applyAlignment="1">
      <alignment horizontal="center"/>
    </xf>
    <xf numFmtId="0" fontId="10" fillId="16" borderId="37" xfId="0" applyFont="1" applyFill="1" applyBorder="1" applyAlignment="1">
      <alignment horizontal="center"/>
    </xf>
    <xf numFmtId="211" fontId="10" fillId="16" borderId="37" xfId="0" applyNumberFormat="1" applyFont="1" applyFill="1" applyBorder="1" applyAlignment="1">
      <alignment horizontal="center"/>
    </xf>
    <xf numFmtId="215" fontId="10" fillId="0" borderId="37" xfId="0" applyNumberFormat="1" applyFont="1" applyBorder="1" applyAlignment="1">
      <alignment horizontal="center"/>
    </xf>
    <xf numFmtId="237" fontId="0" fillId="6" borderId="22" xfId="0" applyNumberFormat="1" applyFill="1" applyBorder="1"/>
    <xf numFmtId="239" fontId="0" fillId="0" borderId="23" xfId="0" applyNumberFormat="1" applyBorder="1"/>
    <xf numFmtId="0" fontId="10" fillId="0" borderId="26" xfId="0" applyFont="1" applyBorder="1" applyAlignment="1">
      <alignment horizontal="center"/>
    </xf>
    <xf numFmtId="241" fontId="0" fillId="0" borderId="3" xfId="0" applyNumberFormat="1" applyBorder="1"/>
    <xf numFmtId="0" fontId="0" fillId="0" borderId="26" xfId="0" applyBorder="1"/>
    <xf numFmtId="0" fontId="10" fillId="0" borderId="25" xfId="0" applyFont="1" applyBorder="1" applyAlignment="1">
      <alignment horizontal="center"/>
    </xf>
    <xf numFmtId="0" fontId="0" fillId="0" borderId="27" xfId="0" applyBorder="1"/>
    <xf numFmtId="241" fontId="0" fillId="0" borderId="21" xfId="0" applyNumberFormat="1" applyBorder="1"/>
    <xf numFmtId="180" fontId="0" fillId="0" borderId="20" xfId="0" applyNumberFormat="1" applyBorder="1"/>
    <xf numFmtId="180" fontId="0" fillId="0" borderId="22" xfId="0" applyNumberFormat="1" applyBorder="1"/>
    <xf numFmtId="0" fontId="0" fillId="0" borderId="24" xfId="0" applyBorder="1"/>
    <xf numFmtId="242" fontId="0" fillId="0" borderId="20" xfId="0" applyNumberFormat="1" applyBorder="1"/>
    <xf numFmtId="242" fontId="0" fillId="0" borderId="22" xfId="0" applyNumberFormat="1" applyBorder="1"/>
    <xf numFmtId="240" fontId="0" fillId="0" borderId="21" xfId="0" applyNumberFormat="1" applyBorder="1"/>
    <xf numFmtId="237" fontId="0" fillId="0" borderId="23" xfId="0" applyNumberFormat="1" applyBorder="1"/>
    <xf numFmtId="240" fontId="0" fillId="0" borderId="24" xfId="0" applyNumberFormat="1" applyBorder="1"/>
    <xf numFmtId="0" fontId="0" fillId="0" borderId="3" xfId="0" applyBorder="1" applyAlignment="1">
      <alignment horizontal="left"/>
    </xf>
    <xf numFmtId="0" fontId="11" fillId="0" borderId="3" xfId="0" applyFont="1" applyBorder="1"/>
    <xf numFmtId="171" fontId="11" fillId="0" borderId="3" xfId="0" applyNumberFormat="1" applyFont="1" applyBorder="1"/>
    <xf numFmtId="171" fontId="0" fillId="0" borderId="3" xfId="0" applyNumberFormat="1" applyBorder="1"/>
    <xf numFmtId="181" fontId="0" fillId="0" borderId="3" xfId="0" applyNumberFormat="1" applyBorder="1"/>
    <xf numFmtId="171" fontId="0" fillId="0" borderId="3" xfId="0" applyNumberFormat="1" applyBorder="1" applyAlignment="1">
      <alignment horizontal="left"/>
    </xf>
    <xf numFmtId="172" fontId="0" fillId="0" borderId="3" xfId="0" applyNumberFormat="1" applyBorder="1"/>
    <xf numFmtId="183" fontId="0" fillId="0" borderId="3" xfId="0" applyNumberFormat="1" applyBorder="1" applyAlignment="1">
      <alignment horizontal="center"/>
    </xf>
    <xf numFmtId="0" fontId="10" fillId="5" borderId="3" xfId="0" applyFont="1" applyFill="1" applyBorder="1" applyAlignment="1">
      <alignment wrapText="1"/>
    </xf>
    <xf numFmtId="171" fontId="10" fillId="5" borderId="3" xfId="0" applyNumberFormat="1" applyFont="1" applyFill="1" applyBorder="1" applyAlignment="1">
      <alignment horizontal="left" wrapText="1"/>
    </xf>
    <xf numFmtId="0" fontId="10" fillId="0" borderId="3" xfId="0" applyFont="1" applyBorder="1" applyAlignment="1">
      <alignment wrapText="1"/>
    </xf>
    <xf numFmtId="171" fontId="10" fillId="0" borderId="3" xfId="0" applyNumberFormat="1" applyFont="1" applyBorder="1" applyAlignment="1">
      <alignment horizontal="left" wrapText="1"/>
    </xf>
    <xf numFmtId="0" fontId="10" fillId="0" borderId="3" xfId="0" applyFont="1" applyBorder="1" applyAlignment="1">
      <alignment horizontal="left"/>
    </xf>
    <xf numFmtId="171" fontId="0" fillId="0" borderId="3" xfId="0" applyNumberFormat="1" applyBorder="1" applyAlignment="1">
      <alignment horizontal="center"/>
    </xf>
    <xf numFmtId="183" fontId="2" fillId="0" borderId="3" xfId="0" applyNumberFormat="1" applyFont="1" applyBorder="1" applyAlignment="1">
      <alignment horizontal="center"/>
    </xf>
    <xf numFmtId="0" fontId="2" fillId="0" borderId="3" xfId="0" applyFont="1" applyBorder="1"/>
    <xf numFmtId="0" fontId="2" fillId="0" borderId="3" xfId="0" applyFont="1" applyBorder="1" applyAlignment="1">
      <alignment horizontal="center" wrapText="1"/>
    </xf>
    <xf numFmtId="171" fontId="2" fillId="0" borderId="3" xfId="0" applyNumberFormat="1" applyFont="1" applyBorder="1" applyAlignment="1">
      <alignment horizontal="left" wrapText="1"/>
    </xf>
    <xf numFmtId="13" fontId="10" fillId="0" borderId="3" xfId="0" applyNumberFormat="1" applyFont="1" applyBorder="1" applyAlignment="1">
      <alignment horizontal="center"/>
    </xf>
    <xf numFmtId="0" fontId="2" fillId="5" borderId="3" xfId="0" applyFont="1" applyFill="1" applyBorder="1" applyAlignment="1">
      <alignment horizontal="center" wrapText="1"/>
    </xf>
    <xf numFmtId="171" fontId="2" fillId="5" borderId="3" xfId="0" applyNumberFormat="1" applyFont="1" applyFill="1" applyBorder="1" applyAlignment="1">
      <alignment horizontal="center" wrapText="1"/>
    </xf>
    <xf numFmtId="172" fontId="2" fillId="0" borderId="3" xfId="0" applyNumberFormat="1" applyFont="1" applyBorder="1" applyAlignment="1">
      <alignment horizontal="center"/>
    </xf>
    <xf numFmtId="0" fontId="10" fillId="0" borderId="3" xfId="0" applyFont="1" applyBorder="1" applyAlignment="1">
      <alignment horizontal="left" wrapText="1"/>
    </xf>
    <xf numFmtId="13" fontId="10" fillId="0" borderId="3" xfId="0" applyNumberFormat="1" applyFont="1" applyBorder="1" applyAlignment="1">
      <alignment horizontal="left"/>
    </xf>
    <xf numFmtId="183" fontId="2" fillId="0" borderId="3" xfId="0" applyNumberFormat="1" applyFont="1" applyBorder="1" applyAlignment="1">
      <alignment horizontal="left"/>
    </xf>
    <xf numFmtId="181" fontId="10" fillId="0" borderId="3" xfId="0" applyNumberFormat="1" applyFont="1" applyBorder="1" applyAlignment="1">
      <alignment horizontal="left"/>
    </xf>
    <xf numFmtId="183" fontId="10" fillId="0" borderId="3" xfId="0" applyNumberFormat="1" applyFont="1" applyBorder="1" applyAlignment="1">
      <alignment horizontal="left"/>
    </xf>
    <xf numFmtId="0" fontId="10" fillId="0" borderId="3" xfId="0" applyFont="1" applyBorder="1" applyAlignment="1">
      <alignment horizontal="left" vertical="center" wrapText="1"/>
    </xf>
    <xf numFmtId="0" fontId="10" fillId="0" borderId="3" xfId="0" applyFont="1" applyBorder="1" applyAlignment="1">
      <alignment horizontal="center" vertical="center" wrapText="1"/>
    </xf>
    <xf numFmtId="0" fontId="13" fillId="0" borderId="3" xfId="0" applyFont="1" applyBorder="1" applyAlignment="1">
      <alignment horizontal="center" vertical="center" wrapText="1"/>
    </xf>
    <xf numFmtId="0" fontId="4" fillId="0" borderId="3" xfId="1" applyBorder="1" applyAlignment="1" applyProtection="1">
      <alignment horizontal="left" vertical="center" wrapText="1"/>
    </xf>
    <xf numFmtId="0" fontId="10" fillId="0" borderId="3" xfId="0" applyFont="1" applyBorder="1" applyAlignment="1">
      <alignment horizontal="left" vertical="center" wrapText="1" indent="1"/>
    </xf>
    <xf numFmtId="0" fontId="89" fillId="0" borderId="3" xfId="0" applyFont="1" applyBorder="1" applyAlignment="1">
      <alignment horizontal="left" vertical="center" wrapText="1" indent="1"/>
    </xf>
    <xf numFmtId="0" fontId="91" fillId="20" borderId="0" xfId="0" applyFont="1" applyFill="1" applyAlignment="1">
      <alignment horizontal="center" vertical="center" wrapText="1"/>
    </xf>
    <xf numFmtId="0" fontId="90" fillId="19" borderId="0" xfId="0" applyFont="1" applyFill="1" applyAlignment="1">
      <alignment horizontal="right" vertical="center" wrapText="1"/>
    </xf>
    <xf numFmtId="0" fontId="90" fillId="19" borderId="0" xfId="0" applyFont="1" applyFill="1" applyAlignment="1">
      <alignment horizontal="center" vertical="center" wrapText="1"/>
    </xf>
    <xf numFmtId="0" fontId="90" fillId="21" borderId="0" xfId="0" applyFont="1" applyFill="1" applyAlignment="1">
      <alignment horizontal="right" vertical="center" wrapText="1"/>
    </xf>
    <xf numFmtId="0" fontId="90" fillId="21" borderId="0" xfId="0" applyFont="1" applyFill="1" applyAlignment="1">
      <alignment horizontal="center" vertical="center" wrapText="1"/>
    </xf>
    <xf numFmtId="0" fontId="9" fillId="0" borderId="0" xfId="0" applyFont="1"/>
    <xf numFmtId="0" fontId="92" fillId="0" borderId="0" xfId="0" applyFont="1" applyAlignment="1">
      <alignment horizontal="center" vertical="center" wrapText="1"/>
    </xf>
    <xf numFmtId="0" fontId="93" fillId="0" borderId="56" xfId="0" applyFont="1" applyBorder="1" applyAlignment="1">
      <alignment horizontal="center" vertical="center" wrapText="1"/>
    </xf>
    <xf numFmtId="0" fontId="82" fillId="22" borderId="55" xfId="0" applyFont="1" applyFill="1" applyBorder="1" applyAlignment="1">
      <alignment horizontal="center" vertical="center" wrapText="1"/>
    </xf>
    <xf numFmtId="0" fontId="80" fillId="22" borderId="56" xfId="0" applyFont="1" applyFill="1" applyBorder="1" applyAlignment="1">
      <alignment horizontal="center" vertical="center" wrapText="1"/>
    </xf>
    <xf numFmtId="17" fontId="82" fillId="0" borderId="79" xfId="0" applyNumberFormat="1" applyFont="1" applyBorder="1" applyAlignment="1">
      <alignment horizontal="center" vertical="center" wrapText="1"/>
    </xf>
    <xf numFmtId="17" fontId="82" fillId="22" borderId="79" xfId="0" applyNumberFormat="1" applyFont="1" applyFill="1" applyBorder="1" applyAlignment="1">
      <alignment horizontal="center" vertical="center" wrapText="1"/>
    </xf>
    <xf numFmtId="0" fontId="82" fillId="22" borderId="78" xfId="0" applyFont="1" applyFill="1" applyBorder="1" applyAlignment="1">
      <alignment horizontal="center" vertical="center" wrapText="1"/>
    </xf>
    <xf numFmtId="0" fontId="82" fillId="22" borderId="58" xfId="0" applyFont="1" applyFill="1" applyBorder="1" applyAlignment="1">
      <alignment horizontal="center" vertical="center" wrapText="1"/>
    </xf>
    <xf numFmtId="0" fontId="80" fillId="22" borderId="76" xfId="0" applyFont="1" applyFill="1" applyBorder="1" applyAlignment="1">
      <alignment horizontal="center" vertical="center" wrapText="1"/>
    </xf>
    <xf numFmtId="0" fontId="94" fillId="0" borderId="0" xfId="0" applyFont="1" applyAlignment="1">
      <alignment horizontal="left" vertical="center" wrapText="1" indent="1"/>
    </xf>
    <xf numFmtId="0" fontId="97" fillId="0" borderId="56" xfId="0" applyFont="1" applyBorder="1" applyAlignment="1">
      <alignment horizontal="center" vertical="center" wrapText="1"/>
    </xf>
    <xf numFmtId="0" fontId="98" fillId="0" borderId="56" xfId="0" applyFont="1" applyBorder="1" applyAlignment="1">
      <alignment horizontal="center" vertical="center" wrapText="1"/>
    </xf>
    <xf numFmtId="0" fontId="93" fillId="6" borderId="56" xfId="0" applyFont="1" applyFill="1" applyBorder="1" applyAlignment="1">
      <alignment horizontal="center" vertical="center" wrapText="1"/>
    </xf>
    <xf numFmtId="0" fontId="10" fillId="10" borderId="3" xfId="0" applyFont="1" applyFill="1" applyBorder="1"/>
    <xf numFmtId="0" fontId="10" fillId="11" borderId="3" xfId="0" applyFont="1" applyFill="1" applyBorder="1"/>
    <xf numFmtId="191" fontId="52" fillId="6" borderId="39" xfId="0" applyNumberFormat="1" applyFont="1" applyFill="1" applyBorder="1" applyAlignment="1">
      <alignment horizontal="center" vertical="center"/>
    </xf>
    <xf numFmtId="0" fontId="60" fillId="0" borderId="26" xfId="0" applyFont="1" applyBorder="1" applyAlignment="1">
      <alignment horizontal="center" vertical="center" wrapText="1"/>
    </xf>
    <xf numFmtId="0" fontId="61" fillId="0" borderId="20" xfId="0" applyFont="1" applyBorder="1" applyAlignment="1">
      <alignment horizontal="center" vertical="center"/>
    </xf>
    <xf numFmtId="2" fontId="52" fillId="0" borderId="20" xfId="0" applyNumberFormat="1" applyFont="1" applyBorder="1" applyAlignment="1">
      <alignment horizontal="center" vertical="center"/>
    </xf>
    <xf numFmtId="2" fontId="52" fillId="0" borderId="21" xfId="0" applyNumberFormat="1" applyFont="1" applyBorder="1" applyAlignment="1">
      <alignment horizontal="center" vertical="center"/>
    </xf>
    <xf numFmtId="0" fontId="58" fillId="0" borderId="20" xfId="0" applyFont="1" applyBorder="1" applyAlignment="1">
      <alignment horizontal="right" vertical="center"/>
    </xf>
    <xf numFmtId="0" fontId="58" fillId="0" borderId="20" xfId="0" applyFont="1" applyBorder="1" applyAlignment="1">
      <alignment horizontal="center" vertical="center"/>
    </xf>
    <xf numFmtId="190" fontId="52" fillId="4" borderId="22" xfId="0" applyNumberFormat="1" applyFont="1" applyFill="1" applyBorder="1" applyAlignment="1" applyProtection="1">
      <alignment horizontal="center" vertical="center"/>
      <protection locked="0"/>
    </xf>
    <xf numFmtId="190" fontId="52" fillId="4" borderId="23" xfId="0" applyNumberFormat="1" applyFont="1" applyFill="1" applyBorder="1" applyAlignment="1" applyProtection="1">
      <alignment horizontal="center" vertical="center"/>
      <protection locked="0"/>
    </xf>
    <xf numFmtId="0" fontId="58" fillId="0" borderId="1" xfId="0" applyFont="1" applyBorder="1" applyAlignment="1">
      <alignment horizontal="center" vertical="center"/>
    </xf>
    <xf numFmtId="190" fontId="52" fillId="4" borderId="88" xfId="0" applyNumberFormat="1" applyFont="1" applyFill="1" applyBorder="1" applyAlignment="1" applyProtection="1">
      <alignment horizontal="center" vertical="center"/>
      <protection locked="0"/>
    </xf>
    <xf numFmtId="191" fontId="52" fillId="6" borderId="89" xfId="0" applyNumberFormat="1" applyFont="1" applyFill="1" applyBorder="1" applyAlignment="1">
      <alignment horizontal="center" vertical="center"/>
    </xf>
    <xf numFmtId="0" fontId="58" fillId="0" borderId="90" xfId="0" applyFont="1" applyBorder="1" applyAlignment="1">
      <alignment horizontal="center" vertical="center"/>
    </xf>
    <xf numFmtId="192" fontId="52" fillId="0" borderId="91" xfId="0" applyNumberFormat="1" applyFont="1" applyBorder="1" applyAlignment="1">
      <alignment horizontal="center" vertical="center"/>
    </xf>
    <xf numFmtId="193" fontId="52" fillId="0" borderId="92" xfId="0" applyNumberFormat="1" applyFont="1" applyBorder="1" applyAlignment="1">
      <alignment horizontal="center" vertical="center"/>
    </xf>
    <xf numFmtId="0" fontId="6" fillId="3" borderId="3" xfId="0" applyFont="1" applyFill="1" applyBorder="1" applyAlignment="1">
      <alignment horizontal="center" vertical="top"/>
    </xf>
    <xf numFmtId="0" fontId="0" fillId="23" borderId="0" xfId="0" applyFill="1"/>
    <xf numFmtId="0" fontId="0" fillId="24" borderId="0" xfId="0" applyFill="1"/>
    <xf numFmtId="2" fontId="6" fillId="0" borderId="3" xfId="0" applyNumberFormat="1" applyFont="1" applyBorder="1" applyAlignment="1">
      <alignment horizontal="center"/>
    </xf>
    <xf numFmtId="0" fontId="6" fillId="4" borderId="93" xfId="0" applyFont="1" applyFill="1" applyBorder="1" applyAlignment="1" applyProtection="1">
      <alignment horizontal="center"/>
      <protection locked="0"/>
    </xf>
    <xf numFmtId="0" fontId="6" fillId="4" borderId="16" xfId="0" applyFont="1" applyFill="1" applyBorder="1" applyAlignment="1" applyProtection="1">
      <alignment horizontal="center"/>
      <protection locked="0"/>
    </xf>
    <xf numFmtId="243" fontId="6" fillId="0" borderId="3" xfId="0" applyNumberFormat="1" applyFont="1" applyBorder="1" applyAlignment="1">
      <alignment horizontal="center"/>
    </xf>
    <xf numFmtId="0" fontId="9" fillId="23" borderId="0" xfId="0" applyFont="1" applyFill="1" applyAlignment="1">
      <alignment horizontal="center" vertical="top"/>
    </xf>
    <xf numFmtId="0" fontId="100" fillId="25" borderId="0" xfId="0" applyFont="1" applyFill="1"/>
    <xf numFmtId="0" fontId="5" fillId="23" borderId="0" xfId="0" applyFont="1" applyFill="1"/>
    <xf numFmtId="0" fontId="101" fillId="25" borderId="0" xfId="0" applyFont="1" applyFill="1"/>
    <xf numFmtId="0" fontId="102" fillId="24" borderId="3" xfId="0" applyFont="1" applyFill="1" applyBorder="1"/>
    <xf numFmtId="2" fontId="2" fillId="4" borderId="3" xfId="0" applyNumberFormat="1" applyFont="1" applyFill="1" applyBorder="1" applyProtection="1">
      <protection locked="0"/>
    </xf>
    <xf numFmtId="2" fontId="102" fillId="24" borderId="3" xfId="0" applyNumberFormat="1" applyFont="1" applyFill="1" applyBorder="1"/>
    <xf numFmtId="0" fontId="103" fillId="26" borderId="3" xfId="0" applyFont="1" applyFill="1" applyBorder="1"/>
    <xf numFmtId="2" fontId="103" fillId="26" borderId="3" xfId="0" applyNumberFormat="1" applyFont="1" applyFill="1" applyBorder="1"/>
    <xf numFmtId="0" fontId="2" fillId="23" borderId="3" xfId="0" applyFont="1" applyFill="1" applyBorder="1"/>
    <xf numFmtId="2" fontId="2" fillId="23" borderId="3" xfId="0" applyNumberFormat="1" applyFont="1" applyFill="1" applyBorder="1"/>
    <xf numFmtId="0" fontId="2" fillId="27" borderId="3" xfId="0" applyFont="1" applyFill="1" applyBorder="1"/>
    <xf numFmtId="2" fontId="2" fillId="27" borderId="3" xfId="0" applyNumberFormat="1" applyFont="1" applyFill="1" applyBorder="1"/>
    <xf numFmtId="0" fontId="2" fillId="3" borderId="3" xfId="0" applyFont="1" applyFill="1" applyBorder="1"/>
    <xf numFmtId="2" fontId="2" fillId="3" borderId="3" xfId="0" applyNumberFormat="1" applyFont="1" applyFill="1" applyBorder="1"/>
    <xf numFmtId="0" fontId="2" fillId="24" borderId="0" xfId="0" applyFont="1" applyFill="1"/>
    <xf numFmtId="0" fontId="106" fillId="23" borderId="3" xfId="0" applyFont="1" applyFill="1" applyBorder="1"/>
    <xf numFmtId="2" fontId="106" fillId="23" borderId="3" xfId="0" applyNumberFormat="1" applyFont="1" applyFill="1" applyBorder="1"/>
    <xf numFmtId="0" fontId="106" fillId="24" borderId="3" xfId="0" applyFont="1" applyFill="1" applyBorder="1"/>
    <xf numFmtId="2" fontId="106" fillId="0" borderId="3" xfId="0" applyNumberFormat="1" applyFont="1" applyBorder="1"/>
    <xf numFmtId="0" fontId="106" fillId="0" borderId="3" xfId="0" applyFont="1" applyBorder="1"/>
    <xf numFmtId="2" fontId="2" fillId="0" borderId="0" xfId="0" applyNumberFormat="1" applyFont="1"/>
    <xf numFmtId="0" fontId="102" fillId="24" borderId="0" xfId="0" applyFont="1" applyFill="1"/>
    <xf numFmtId="0" fontId="2" fillId="23" borderId="0" xfId="0" applyFont="1" applyFill="1"/>
    <xf numFmtId="0" fontId="100" fillId="24" borderId="0" xfId="0" applyFont="1" applyFill="1"/>
    <xf numFmtId="0" fontId="109" fillId="24" borderId="0" xfId="0" applyFont="1" applyFill="1" applyAlignment="1">
      <alignment vertical="top" wrapText="1"/>
    </xf>
    <xf numFmtId="0" fontId="0" fillId="24" borderId="0" xfId="0" applyFill="1" applyAlignment="1">
      <alignment vertical="top" wrapText="1"/>
    </xf>
    <xf numFmtId="0" fontId="2" fillId="3" borderId="3" xfId="0" applyFont="1" applyFill="1" applyBorder="1" applyAlignment="1">
      <alignment horizontal="center" vertical="top"/>
    </xf>
    <xf numFmtId="0" fontId="10" fillId="24" borderId="0" xfId="0" applyFont="1" applyFill="1"/>
    <xf numFmtId="0" fontId="0" fillId="28" borderId="0" xfId="0" applyFill="1"/>
    <xf numFmtId="0" fontId="100" fillId="24" borderId="1" xfId="0" applyFont="1" applyFill="1" applyBorder="1"/>
    <xf numFmtId="0" fontId="6" fillId="4" borderId="49" xfId="0" applyFont="1" applyFill="1" applyBorder="1" applyAlignment="1" applyProtection="1">
      <alignment horizontal="center"/>
      <protection locked="0"/>
    </xf>
    <xf numFmtId="0" fontId="5" fillId="3" borderId="2" xfId="0" applyFont="1" applyFill="1" applyBorder="1" applyAlignment="1">
      <alignment horizontal="center"/>
    </xf>
    <xf numFmtId="0" fontId="0" fillId="24" borderId="0" xfId="0" applyFill="1" applyAlignment="1">
      <alignment horizontal="center"/>
    </xf>
    <xf numFmtId="0" fontId="100" fillId="24" borderId="3" xfId="0" applyFont="1" applyFill="1" applyBorder="1"/>
    <xf numFmtId="0" fontId="6" fillId="2" borderId="37" xfId="0" applyFont="1" applyFill="1" applyBorder="1" applyAlignment="1">
      <alignment horizontal="center"/>
    </xf>
    <xf numFmtId="0" fontId="5" fillId="3" borderId="3" xfId="0" applyFont="1" applyFill="1" applyBorder="1" applyAlignment="1">
      <alignment horizontal="center"/>
    </xf>
    <xf numFmtId="0" fontId="6" fillId="2" borderId="3" xfId="0" applyFont="1" applyFill="1" applyBorder="1" applyAlignment="1">
      <alignment horizontal="center"/>
    </xf>
    <xf numFmtId="2" fontId="6" fillId="2" borderId="3" xfId="0" applyNumberFormat="1" applyFont="1" applyFill="1" applyBorder="1" applyAlignment="1">
      <alignment horizontal="center"/>
    </xf>
    <xf numFmtId="0" fontId="11" fillId="24" borderId="0" xfId="0" applyFont="1" applyFill="1"/>
    <xf numFmtId="0" fontId="5" fillId="24" borderId="0" xfId="0" applyFont="1" applyFill="1"/>
    <xf numFmtId="0" fontId="110" fillId="28" borderId="0" xfId="0" applyFont="1" applyFill="1"/>
    <xf numFmtId="0" fontId="0" fillId="24" borderId="3" xfId="0" applyFill="1" applyBorder="1"/>
    <xf numFmtId="0" fontId="0" fillId="24" borderId="35" xfId="0" applyFill="1" applyBorder="1"/>
    <xf numFmtId="0" fontId="102" fillId="24" borderId="1" xfId="0" applyFont="1" applyFill="1" applyBorder="1"/>
    <xf numFmtId="2" fontId="5" fillId="2" borderId="2" xfId="0" applyNumberFormat="1" applyFont="1" applyFill="1" applyBorder="1" applyAlignment="1">
      <alignment horizontal="center"/>
    </xf>
    <xf numFmtId="0" fontId="9" fillId="24" borderId="0" xfId="0" applyFont="1" applyFill="1"/>
    <xf numFmtId="0" fontId="6" fillId="4" borderId="50" xfId="0" applyFont="1" applyFill="1" applyBorder="1" applyAlignment="1" applyProtection="1">
      <alignment horizontal="center"/>
      <protection locked="0"/>
    </xf>
    <xf numFmtId="2" fontId="5" fillId="2" borderId="2" xfId="0" applyNumberFormat="1" applyFont="1" applyFill="1" applyBorder="1" applyAlignment="1">
      <alignment horizontal="center" vertical="top"/>
    </xf>
    <xf numFmtId="0" fontId="69" fillId="0" borderId="62" xfId="0" applyFont="1" applyBorder="1" applyAlignment="1">
      <alignment horizontal="center" vertical="center" wrapText="1"/>
    </xf>
    <xf numFmtId="0" fontId="70" fillId="0" borderId="63" xfId="0" applyFont="1" applyBorder="1" applyAlignment="1">
      <alignment horizontal="center" vertical="center" wrapText="1"/>
    </xf>
    <xf numFmtId="0" fontId="71" fillId="0" borderId="71" xfId="0" applyFont="1" applyBorder="1" applyAlignment="1">
      <alignment horizontal="center" vertical="center" wrapText="1"/>
    </xf>
    <xf numFmtId="0" fontId="71" fillId="0" borderId="74" xfId="0" applyFont="1" applyBorder="1" applyAlignment="1">
      <alignment horizontal="center" vertical="center" wrapText="1"/>
    </xf>
    <xf numFmtId="0" fontId="112" fillId="0" borderId="0" xfId="0" applyFont="1"/>
    <xf numFmtId="170" fontId="0" fillId="0" borderId="3" xfId="0" applyNumberFormat="1" applyBorder="1" applyAlignment="1">
      <alignment horizontal="center"/>
    </xf>
    <xf numFmtId="242" fontId="22" fillId="6" borderId="3" xfId="0" applyNumberFormat="1" applyFont="1" applyFill="1" applyBorder="1"/>
    <xf numFmtId="0" fontId="112" fillId="9" borderId="3" xfId="0" applyFont="1" applyFill="1" applyBorder="1" applyAlignment="1">
      <alignment horizontal="center"/>
    </xf>
    <xf numFmtId="176" fontId="0" fillId="11" borderId="3" xfId="0" applyNumberFormat="1" applyFill="1" applyBorder="1"/>
    <xf numFmtId="176" fontId="0" fillId="0" borderId="1" xfId="0" applyNumberFormat="1" applyBorder="1"/>
    <xf numFmtId="242" fontId="0" fillId="0" borderId="3" xfId="0" applyNumberFormat="1" applyBorder="1"/>
    <xf numFmtId="242" fontId="0" fillId="9" borderId="3" xfId="0" applyNumberFormat="1" applyFill="1" applyBorder="1"/>
    <xf numFmtId="242" fontId="0" fillId="8" borderId="3" xfId="0" applyNumberFormat="1" applyFill="1" applyBorder="1"/>
    <xf numFmtId="188" fontId="0" fillId="0" borderId="1" xfId="0" applyNumberFormat="1" applyBorder="1"/>
    <xf numFmtId="188" fontId="0" fillId="0" borderId="0" xfId="0" applyNumberFormat="1"/>
    <xf numFmtId="201" fontId="0" fillId="0" borderId="0" xfId="0" applyNumberFormat="1"/>
    <xf numFmtId="0" fontId="5" fillId="0" borderId="0" xfId="0" applyFont="1" applyAlignment="1">
      <alignment horizontal="center"/>
    </xf>
    <xf numFmtId="237" fontId="0" fillId="0" borderId="0" xfId="0" applyNumberFormat="1"/>
    <xf numFmtId="2" fontId="57" fillId="0" borderId="52" xfId="0" applyNumberFormat="1" applyFont="1" applyBorder="1" applyAlignment="1">
      <alignment horizontal="center" vertical="center"/>
    </xf>
    <xf numFmtId="2" fontId="57" fillId="0" borderId="37" xfId="0" applyNumberFormat="1" applyFont="1" applyBorder="1" applyAlignment="1">
      <alignment horizontal="center" vertical="center"/>
    </xf>
    <xf numFmtId="0" fontId="55" fillId="0" borderId="41" xfId="0" applyFont="1" applyBorder="1" applyAlignment="1">
      <alignment horizontal="center" vertical="center" wrapText="1"/>
    </xf>
    <xf numFmtId="0" fontId="55" fillId="0" borderId="42" xfId="0" applyFont="1" applyBorder="1" applyAlignment="1">
      <alignment horizontal="center" vertical="center" wrapText="1"/>
    </xf>
    <xf numFmtId="0" fontId="55" fillId="0" borderId="43" xfId="0" applyFont="1" applyBorder="1" applyAlignment="1">
      <alignment horizontal="center" vertical="center" wrapText="1"/>
    </xf>
    <xf numFmtId="0" fontId="55" fillId="0" borderId="44" xfId="0" applyFont="1" applyBorder="1" applyAlignment="1">
      <alignment horizontal="center" vertical="center" wrapText="1"/>
    </xf>
    <xf numFmtId="0" fontId="55" fillId="0" borderId="45" xfId="0" applyFont="1" applyBorder="1" applyAlignment="1">
      <alignment horizontal="center" vertical="center" wrapText="1"/>
    </xf>
    <xf numFmtId="0" fontId="55" fillId="0" borderId="46" xfId="0" applyFont="1" applyBorder="1" applyAlignment="1">
      <alignment horizontal="center" vertical="center" wrapText="1"/>
    </xf>
    <xf numFmtId="0" fontId="57" fillId="0" borderId="1" xfId="0" applyFont="1" applyBorder="1" applyAlignment="1">
      <alignment horizontal="left" vertical="center"/>
    </xf>
    <xf numFmtId="0" fontId="57" fillId="0" borderId="2" xfId="0" applyFont="1" applyBorder="1" applyAlignment="1">
      <alignment horizontal="left" vertical="center"/>
    </xf>
    <xf numFmtId="0" fontId="57" fillId="9" borderId="12" xfId="0" applyFont="1" applyFill="1" applyBorder="1" applyAlignment="1">
      <alignment horizontal="left" vertical="center" wrapText="1"/>
    </xf>
    <xf numFmtId="0" fontId="52" fillId="9" borderId="0" xfId="0" applyFont="1" applyFill="1" applyAlignment="1">
      <alignment horizontal="left" vertical="center" wrapText="1"/>
    </xf>
    <xf numFmtId="0" fontId="52" fillId="9" borderId="12" xfId="0" applyFont="1" applyFill="1" applyBorder="1" applyAlignment="1">
      <alignment horizontal="left" vertical="center" wrapText="1"/>
    </xf>
    <xf numFmtId="0" fontId="54" fillId="0" borderId="51" xfId="0" applyFont="1" applyBorder="1" applyAlignment="1">
      <alignment horizontal="center" vertical="center"/>
    </xf>
    <xf numFmtId="0" fontId="54" fillId="0" borderId="53" xfId="0" applyFont="1" applyBorder="1" applyAlignment="1">
      <alignment horizontal="center" vertical="center"/>
    </xf>
    <xf numFmtId="0" fontId="57" fillId="0" borderId="52" xfId="0" applyFont="1" applyBorder="1" applyAlignment="1">
      <alignment horizontal="center" vertical="center"/>
    </xf>
    <xf numFmtId="0" fontId="57" fillId="0" borderId="37" xfId="0" applyFont="1" applyBorder="1" applyAlignment="1">
      <alignment horizontal="center" vertical="center"/>
    </xf>
    <xf numFmtId="0" fontId="10" fillId="0" borderId="12" xfId="0" applyFont="1" applyBorder="1" applyAlignment="1">
      <alignment horizontal="center" vertical="center"/>
    </xf>
    <xf numFmtId="0" fontId="10" fillId="0" borderId="0" xfId="0" applyFont="1" applyAlignment="1">
      <alignment horizontal="center" vertical="center"/>
    </xf>
    <xf numFmtId="244" fontId="52" fillId="0" borderId="12" xfId="0" applyNumberFormat="1" applyFont="1" applyBorder="1" applyAlignment="1">
      <alignment horizontal="center" vertical="center"/>
    </xf>
    <xf numFmtId="244" fontId="52" fillId="0" borderId="0" xfId="0" applyNumberFormat="1" applyFont="1" applyAlignment="1">
      <alignment horizontal="center" vertical="center"/>
    </xf>
    <xf numFmtId="0" fontId="59" fillId="0" borderId="0" xfId="0" applyFont="1" applyAlignment="1">
      <alignment horizontal="center" vertical="center" wrapText="1"/>
    </xf>
    <xf numFmtId="0" fontId="57" fillId="2" borderId="22" xfId="0" applyFont="1" applyFill="1" applyBorder="1" applyAlignment="1">
      <alignment horizontal="center" vertical="center"/>
    </xf>
    <xf numFmtId="0" fontId="57" fillId="2" borderId="23" xfId="0" applyFont="1" applyFill="1" applyBorder="1" applyAlignment="1">
      <alignment horizontal="center" vertical="center"/>
    </xf>
    <xf numFmtId="2" fontId="104" fillId="0" borderId="8" xfId="0" applyNumberFormat="1" applyFont="1" applyBorder="1" applyAlignment="1">
      <alignment horizontal="center" vertical="center"/>
    </xf>
    <xf numFmtId="0" fontId="105" fillId="0" borderId="5" xfId="0" applyFont="1" applyBorder="1" applyAlignment="1">
      <alignment horizontal="center" vertical="center"/>
    </xf>
    <xf numFmtId="0" fontId="105" fillId="0" borderId="9" xfId="0" applyFont="1" applyBorder="1" applyAlignment="1">
      <alignment horizontal="center" vertical="center"/>
    </xf>
    <xf numFmtId="0" fontId="105" fillId="0" borderId="7" xfId="0" applyFont="1" applyBorder="1" applyAlignment="1">
      <alignment horizontal="center" vertical="center"/>
    </xf>
    <xf numFmtId="0" fontId="110" fillId="28" borderId="0" xfId="0" applyFont="1" applyFill="1" applyAlignment="1">
      <alignment vertical="top" wrapText="1"/>
    </xf>
    <xf numFmtId="0" fontId="0" fillId="0" borderId="0" xfId="0" applyAlignment="1">
      <alignment vertical="top" wrapText="1"/>
    </xf>
    <xf numFmtId="0" fontId="27" fillId="0" borderId="41" xfId="0" applyFont="1" applyBorder="1" applyAlignment="1">
      <alignment horizontal="center" vertical="center" wrapText="1"/>
    </xf>
    <xf numFmtId="0" fontId="27" fillId="0" borderId="42" xfId="0" applyFont="1" applyBorder="1" applyAlignment="1">
      <alignment horizontal="center" vertical="center" wrapText="1"/>
    </xf>
    <xf numFmtId="0" fontId="27" fillId="0" borderId="43" xfId="0" applyFont="1" applyBorder="1" applyAlignment="1">
      <alignment horizontal="center" vertical="center" wrapText="1"/>
    </xf>
    <xf numFmtId="0" fontId="27" fillId="0" borderId="44" xfId="0" applyFont="1" applyBorder="1" applyAlignment="1">
      <alignment horizontal="center" vertical="center" wrapText="1"/>
    </xf>
    <xf numFmtId="0" fontId="27" fillId="0" borderId="45" xfId="0" applyFont="1" applyBorder="1" applyAlignment="1">
      <alignment horizontal="center" vertical="center" wrapText="1"/>
    </xf>
    <xf numFmtId="0" fontId="27" fillId="0" borderId="46" xfId="0" applyFont="1" applyBorder="1" applyAlignment="1">
      <alignment horizontal="center" vertical="center" wrapText="1"/>
    </xf>
    <xf numFmtId="0" fontId="31" fillId="0" borderId="1" xfId="0" applyFont="1" applyBorder="1" applyAlignment="1">
      <alignment horizontal="center"/>
    </xf>
    <xf numFmtId="0" fontId="31" fillId="0" borderId="30" xfId="0" applyFont="1" applyBorder="1" applyAlignment="1">
      <alignment horizontal="center"/>
    </xf>
    <xf numFmtId="0" fontId="31" fillId="0" borderId="31" xfId="0" applyFont="1" applyBorder="1" applyAlignment="1">
      <alignment horizontal="center"/>
    </xf>
    <xf numFmtId="0" fontId="42" fillId="7" borderId="12" xfId="0" applyFont="1" applyFill="1" applyBorder="1" applyAlignment="1">
      <alignment horizontal="left" wrapText="1"/>
    </xf>
    <xf numFmtId="0" fontId="42" fillId="7" borderId="0" xfId="0" applyFont="1" applyFill="1" applyAlignment="1">
      <alignment horizontal="left" wrapText="1"/>
    </xf>
    <xf numFmtId="0" fontId="45" fillId="0" borderId="26" xfId="0" applyFont="1" applyBorder="1" applyAlignment="1">
      <alignment horizontal="center"/>
    </xf>
    <xf numFmtId="0" fontId="45" fillId="0" borderId="25" xfId="0" applyFont="1" applyBorder="1" applyAlignment="1">
      <alignment horizontal="center"/>
    </xf>
    <xf numFmtId="0" fontId="43" fillId="0" borderId="32" xfId="0" applyFont="1" applyBorder="1" applyAlignment="1">
      <alignment horizontal="center"/>
    </xf>
    <xf numFmtId="0" fontId="43" fillId="0" borderId="33" xfId="0" applyFont="1" applyBorder="1" applyAlignment="1">
      <alignment horizontal="center"/>
    </xf>
    <xf numFmtId="0" fontId="43" fillId="0" borderId="28" xfId="0" applyFont="1" applyBorder="1" applyAlignment="1">
      <alignment horizontal="center"/>
    </xf>
    <xf numFmtId="0" fontId="29" fillId="0" borderId="26" xfId="0" applyFont="1" applyBorder="1" applyAlignment="1">
      <alignment horizontal="center"/>
    </xf>
    <xf numFmtId="0" fontId="29" fillId="0" borderId="25" xfId="0" applyFont="1" applyBorder="1" applyAlignment="1">
      <alignment horizontal="center"/>
    </xf>
    <xf numFmtId="0" fontId="6" fillId="0" borderId="0" xfId="0" applyFont="1" applyAlignment="1">
      <alignment horizontal="left"/>
    </xf>
    <xf numFmtId="0" fontId="28" fillId="0" borderId="0" xfId="0" applyFont="1" applyAlignment="1">
      <alignment horizontal="left"/>
    </xf>
    <xf numFmtId="0" fontId="29" fillId="0" borderId="0" xfId="0" applyFont="1" applyAlignment="1">
      <alignment horizontal="center"/>
    </xf>
    <xf numFmtId="0" fontId="41" fillId="8" borderId="14" xfId="0" applyFont="1" applyFill="1" applyBorder="1" applyAlignment="1">
      <alignment horizontal="center" vertical="center" wrapText="1"/>
    </xf>
    <xf numFmtId="0" fontId="41" fillId="8" borderId="15" xfId="0" applyFont="1" applyFill="1" applyBorder="1" applyAlignment="1">
      <alignment horizontal="center" vertical="center" wrapText="1"/>
    </xf>
    <xf numFmtId="0" fontId="41" fillId="8" borderId="10" xfId="0" applyFont="1" applyFill="1" applyBorder="1" applyAlignment="1">
      <alignment horizontal="center" vertical="center" wrapText="1"/>
    </xf>
    <xf numFmtId="0" fontId="41" fillId="8" borderId="12" xfId="0" applyFont="1" applyFill="1" applyBorder="1" applyAlignment="1">
      <alignment horizontal="center" vertical="center" wrapText="1"/>
    </xf>
    <xf numFmtId="0" fontId="41" fillId="8" borderId="0" xfId="0" applyFont="1" applyFill="1" applyAlignment="1">
      <alignment horizontal="center" vertical="center" wrapText="1"/>
    </xf>
    <xf numFmtId="0" fontId="41" fillId="8" borderId="11" xfId="0" applyFont="1" applyFill="1" applyBorder="1" applyAlignment="1">
      <alignment horizontal="center" vertical="center" wrapText="1"/>
    </xf>
    <xf numFmtId="0" fontId="41" fillId="8" borderId="16" xfId="0" applyFont="1" applyFill="1" applyBorder="1" applyAlignment="1">
      <alignment horizontal="center" vertical="center" wrapText="1"/>
    </xf>
    <xf numFmtId="0" fontId="41" fillId="8" borderId="17" xfId="0" applyFont="1" applyFill="1" applyBorder="1" applyAlignment="1">
      <alignment horizontal="center" vertical="center" wrapText="1"/>
    </xf>
    <xf numFmtId="0" fontId="41" fillId="8" borderId="13" xfId="0" applyFont="1" applyFill="1" applyBorder="1" applyAlignment="1">
      <alignment horizontal="center" vertical="center" wrapText="1"/>
    </xf>
    <xf numFmtId="0" fontId="45" fillId="0" borderId="14" xfId="0" applyFont="1" applyBorder="1" applyAlignment="1">
      <alignment horizontal="center"/>
    </xf>
    <xf numFmtId="0" fontId="45" fillId="0" borderId="15" xfId="0" applyFont="1" applyBorder="1" applyAlignment="1">
      <alignment horizontal="center"/>
    </xf>
    <xf numFmtId="0" fontId="45" fillId="0" borderId="10" xfId="0" applyFont="1" applyBorder="1" applyAlignment="1">
      <alignment horizontal="center"/>
    </xf>
    <xf numFmtId="0" fontId="46" fillId="0" borderId="26" xfId="0" applyFont="1" applyBorder="1" applyAlignment="1">
      <alignment horizontal="center"/>
    </xf>
    <xf numFmtId="0" fontId="46" fillId="0" borderId="25" xfId="0" applyFont="1" applyBorder="1" applyAlignment="1">
      <alignment horizontal="center"/>
    </xf>
    <xf numFmtId="0" fontId="34" fillId="0" borderId="12" xfId="0" applyFont="1" applyBorder="1" applyAlignment="1">
      <alignment horizontal="left" wrapText="1"/>
    </xf>
    <xf numFmtId="0" fontId="34" fillId="0" borderId="0" xfId="0" applyFont="1" applyAlignment="1">
      <alignment horizontal="left" wrapText="1"/>
    </xf>
    <xf numFmtId="0" fontId="34" fillId="0" borderId="16" xfId="0" applyFont="1" applyBorder="1" applyAlignment="1">
      <alignment horizontal="left" wrapText="1"/>
    </xf>
    <xf numFmtId="0" fontId="34" fillId="0" borderId="17" xfId="0" applyFont="1" applyBorder="1" applyAlignment="1">
      <alignment horizontal="left" wrapText="1"/>
    </xf>
    <xf numFmtId="0" fontId="34" fillId="0" borderId="25" xfId="0" applyFont="1" applyBorder="1" applyAlignment="1">
      <alignment horizontal="center" wrapText="1"/>
    </xf>
    <xf numFmtId="0" fontId="34" fillId="0" borderId="3" xfId="0" applyFont="1" applyBorder="1" applyAlignment="1">
      <alignment horizontal="center" wrapText="1"/>
    </xf>
    <xf numFmtId="0" fontId="34" fillId="0" borderId="27" xfId="0" applyFont="1" applyBorder="1" applyAlignment="1">
      <alignment horizontal="center" vertical="top" wrapText="1"/>
    </xf>
    <xf numFmtId="0" fontId="34" fillId="0" borderId="21" xfId="0" applyFont="1" applyBorder="1" applyAlignment="1">
      <alignment horizontal="center" vertical="top" wrapText="1"/>
    </xf>
    <xf numFmtId="0" fontId="34" fillId="7" borderId="12" xfId="0" applyFont="1" applyFill="1" applyBorder="1" applyAlignment="1">
      <alignment horizontal="center" vertical="top" wrapText="1"/>
    </xf>
    <xf numFmtId="0" fontId="34" fillId="7" borderId="0" xfId="0" applyFont="1" applyFill="1" applyAlignment="1">
      <alignment horizontal="center" vertical="top" wrapText="1"/>
    </xf>
    <xf numFmtId="0" fontId="34" fillId="7" borderId="3" xfId="0" applyFont="1" applyFill="1" applyBorder="1" applyAlignment="1">
      <alignment horizontal="left"/>
    </xf>
    <xf numFmtId="0" fontId="34" fillId="7" borderId="21" xfId="0" applyFont="1" applyFill="1" applyBorder="1" applyAlignment="1">
      <alignment horizontal="left"/>
    </xf>
    <xf numFmtId="0" fontId="43" fillId="0" borderId="26" xfId="0" applyFont="1" applyBorder="1" applyAlignment="1">
      <alignment horizontal="center"/>
    </xf>
    <xf numFmtId="0" fontId="43" fillId="0" borderId="27" xfId="0" applyFont="1" applyBorder="1" applyAlignment="1">
      <alignment horizontal="center"/>
    </xf>
    <xf numFmtId="0" fontId="34" fillId="0" borderId="12" xfId="0" applyFont="1" applyBorder="1" applyAlignment="1">
      <alignment horizontal="center"/>
    </xf>
    <xf numFmtId="0" fontId="34" fillId="0" borderId="0" xfId="0" applyFont="1" applyAlignment="1">
      <alignment horizontal="center"/>
    </xf>
    <xf numFmtId="0" fontId="81" fillId="0" borderId="62" xfId="0" applyFont="1" applyBorder="1" applyAlignment="1">
      <alignment horizontal="center" vertical="center" wrapText="1"/>
    </xf>
    <xf numFmtId="0" fontId="81" fillId="0" borderId="77" xfId="0" applyFont="1" applyBorder="1" applyAlignment="1">
      <alignment horizontal="center" vertical="center" wrapText="1"/>
    </xf>
    <xf numFmtId="0" fontId="81" fillId="0" borderId="63" xfId="0" applyFont="1" applyBorder="1" applyAlignment="1">
      <alignment horizontal="center" vertical="center" wrapText="1"/>
    </xf>
    <xf numFmtId="0" fontId="81" fillId="0" borderId="60" xfId="0" applyFont="1" applyBorder="1" applyAlignment="1">
      <alignment horizontal="center" vertical="center" wrapText="1"/>
    </xf>
    <xf numFmtId="0" fontId="81" fillId="0" borderId="61" xfId="0" applyFont="1" applyBorder="1" applyAlignment="1">
      <alignment horizontal="center" vertical="center" wrapText="1"/>
    </xf>
    <xf numFmtId="0" fontId="82" fillId="0" borderId="57" xfId="0" applyFont="1" applyBorder="1" applyAlignment="1">
      <alignment horizontal="center" vertical="center" wrapText="1"/>
    </xf>
    <xf numFmtId="0" fontId="82" fillId="0" borderId="87" xfId="0" applyFont="1" applyBorder="1" applyAlignment="1">
      <alignment horizontal="center" vertical="center" wrapText="1"/>
    </xf>
    <xf numFmtId="0" fontId="82" fillId="0" borderId="58" xfId="0" applyFont="1" applyBorder="1" applyAlignment="1">
      <alignment horizontal="center" vertical="center" wrapText="1"/>
    </xf>
    <xf numFmtId="0" fontId="82" fillId="0" borderId="55" xfId="0" applyFont="1" applyBorder="1" applyAlignment="1">
      <alignment horizontal="center" vertical="center" wrapText="1"/>
    </xf>
    <xf numFmtId="0" fontId="82" fillId="0" borderId="56" xfId="0" applyFont="1" applyBorder="1" applyAlignment="1">
      <alignment horizontal="center" vertical="center" wrapText="1"/>
    </xf>
    <xf numFmtId="0" fontId="82" fillId="0" borderId="78" xfId="0" applyFont="1" applyBorder="1" applyAlignment="1">
      <alignment horizontal="center" vertical="center" wrapText="1"/>
    </xf>
    <xf numFmtId="0" fontId="82" fillId="0" borderId="76" xfId="0" applyFont="1" applyBorder="1" applyAlignment="1">
      <alignment horizontal="center" vertical="center" wrapText="1"/>
    </xf>
    <xf numFmtId="0" fontId="82" fillId="0" borderId="79" xfId="0" applyFont="1" applyBorder="1" applyAlignment="1">
      <alignment horizontal="center" vertical="center" wrapText="1"/>
    </xf>
    <xf numFmtId="0" fontId="96" fillId="0" borderId="0" xfId="0" applyFont="1" applyAlignment="1">
      <alignment horizontal="center" vertical="center"/>
    </xf>
    <xf numFmtId="0" fontId="82" fillId="0" borderId="85" xfId="0" applyFont="1" applyBorder="1" applyAlignment="1">
      <alignment horizontal="center" vertical="center" wrapText="1"/>
    </xf>
    <xf numFmtId="0" fontId="82" fillId="0" borderId="86" xfId="0" applyFont="1" applyBorder="1" applyAlignment="1">
      <alignment horizontal="center" vertical="center" wrapText="1"/>
    </xf>
    <xf numFmtId="0" fontId="82" fillId="22" borderId="55" xfId="0" applyFont="1" applyFill="1" applyBorder="1" applyAlignment="1">
      <alignment horizontal="center" vertical="center" wrapText="1"/>
    </xf>
    <xf numFmtId="0" fontId="82" fillId="22" borderId="56" xfId="0" applyFont="1" applyFill="1" applyBorder="1" applyAlignment="1">
      <alignment horizontal="center" vertical="center" wrapText="1"/>
    </xf>
    <xf numFmtId="0" fontId="0" fillId="0" borderId="0" xfId="0" applyAlignment="1">
      <alignment horizontal="center"/>
    </xf>
    <xf numFmtId="0" fontId="7" fillId="8" borderId="0" xfId="0" applyFont="1" applyFill="1" applyAlignment="1">
      <alignment horizontal="center" vertical="center"/>
    </xf>
    <xf numFmtId="0" fontId="17" fillId="0" borderId="14" xfId="0" applyFont="1" applyBorder="1" applyAlignment="1">
      <alignment horizontal="center"/>
    </xf>
    <xf numFmtId="0" fontId="17" fillId="0" borderId="15" xfId="0" applyFont="1" applyBorder="1" applyAlignment="1">
      <alignment horizontal="center"/>
    </xf>
    <xf numFmtId="0" fontId="17" fillId="0" borderId="10" xfId="0" applyFont="1" applyBorder="1" applyAlignment="1">
      <alignment horizontal="center"/>
    </xf>
    <xf numFmtId="0" fontId="8" fillId="0" borderId="26" xfId="0" applyFont="1" applyBorder="1" applyAlignment="1">
      <alignment horizontal="center"/>
    </xf>
    <xf numFmtId="0" fontId="8" fillId="0" borderId="27" xfId="0" applyFont="1" applyBorder="1" applyAlignment="1">
      <alignment horizontal="center"/>
    </xf>
    <xf numFmtId="0" fontId="8" fillId="0" borderId="25" xfId="0" applyFont="1" applyBorder="1" applyAlignment="1">
      <alignment horizontal="center"/>
    </xf>
    <xf numFmtId="0" fontId="1" fillId="0" borderId="26" xfId="0" applyFont="1" applyBorder="1" applyAlignment="1">
      <alignment horizontal="center"/>
    </xf>
    <xf numFmtId="0" fontId="1" fillId="0" borderId="25" xfId="0" applyFont="1" applyBorder="1" applyAlignment="1">
      <alignment horizontal="center"/>
    </xf>
    <xf numFmtId="0" fontId="1" fillId="0" borderId="27" xfId="0" applyFont="1" applyBorder="1" applyAlignment="1">
      <alignment horizontal="center"/>
    </xf>
    <xf numFmtId="164" fontId="0" fillId="4" borderId="3" xfId="0" applyNumberFormat="1" applyFill="1" applyBorder="1" applyAlignment="1" applyProtection="1">
      <alignment horizontal="center"/>
      <protection locked="0"/>
    </xf>
    <xf numFmtId="0" fontId="10" fillId="0" borderId="20" xfId="0" applyFont="1" applyBorder="1" applyAlignment="1">
      <alignment horizontal="center" wrapText="1"/>
    </xf>
    <xf numFmtId="0" fontId="10" fillId="0" borderId="3" xfId="0" applyFont="1" applyBorder="1" applyAlignment="1">
      <alignment horizontal="center" wrapText="1"/>
    </xf>
    <xf numFmtId="0" fontId="10" fillId="0" borderId="22" xfId="0" applyFont="1" applyBorder="1" applyAlignment="1">
      <alignment horizontal="center" wrapText="1"/>
    </xf>
    <xf numFmtId="0" fontId="10" fillId="0" borderId="23" xfId="0" applyFont="1" applyBorder="1" applyAlignment="1">
      <alignment horizontal="center" wrapText="1"/>
    </xf>
    <xf numFmtId="0" fontId="23" fillId="0" borderId="41" xfId="0" applyFont="1" applyBorder="1" applyAlignment="1">
      <alignment horizontal="center" vertical="center" wrapText="1"/>
    </xf>
    <xf numFmtId="0" fontId="23" fillId="0" borderId="42" xfId="0" applyFont="1" applyBorder="1" applyAlignment="1">
      <alignment horizontal="center" vertical="center" wrapText="1"/>
    </xf>
    <xf numFmtId="0" fontId="23" fillId="0" borderId="43" xfId="0" applyFont="1" applyBorder="1" applyAlignment="1">
      <alignment horizontal="center" vertical="center" wrapText="1"/>
    </xf>
    <xf numFmtId="0" fontId="23" fillId="0" borderId="44" xfId="0" applyFont="1" applyBorder="1" applyAlignment="1">
      <alignment horizontal="center" vertical="center" wrapText="1"/>
    </xf>
    <xf numFmtId="0" fontId="23" fillId="0" borderId="45" xfId="0" applyFont="1" applyBorder="1" applyAlignment="1">
      <alignment horizontal="center" vertical="center" wrapText="1"/>
    </xf>
    <xf numFmtId="0" fontId="23" fillId="0" borderId="46" xfId="0" applyFont="1" applyBorder="1" applyAlignment="1">
      <alignment horizontal="center" vertical="center" wrapText="1"/>
    </xf>
    <xf numFmtId="0" fontId="10" fillId="0" borderId="26" xfId="0" applyFont="1" applyBorder="1" applyAlignment="1">
      <alignment horizontal="center"/>
    </xf>
    <xf numFmtId="0" fontId="0" fillId="0" borderId="25" xfId="0" applyBorder="1" applyAlignment="1">
      <alignment horizontal="center"/>
    </xf>
    <xf numFmtId="0" fontId="0" fillId="0" borderId="27" xfId="0" applyBorder="1" applyAlignment="1">
      <alignment horizontal="center"/>
    </xf>
    <xf numFmtId="181" fontId="0" fillId="16" borderId="3" xfId="0" applyNumberFormat="1" applyFill="1" applyBorder="1" applyAlignment="1">
      <alignment horizontal="center"/>
    </xf>
    <xf numFmtId="0" fontId="0" fillId="0" borderId="20" xfId="0" applyBorder="1" applyAlignment="1">
      <alignment horizontal="left"/>
    </xf>
    <xf numFmtId="0" fontId="0" fillId="0" borderId="3" xfId="0" applyBorder="1" applyAlignment="1">
      <alignment horizontal="left"/>
    </xf>
    <xf numFmtId="0" fontId="22" fillId="0" borderId="20" xfId="0" applyFont="1" applyBorder="1" applyAlignment="1">
      <alignment horizontal="right"/>
    </xf>
    <xf numFmtId="0" fontId="22" fillId="0" borderId="3" xfId="0" applyFont="1" applyBorder="1" applyAlignment="1">
      <alignment horizontal="right"/>
    </xf>
    <xf numFmtId="0" fontId="0" fillId="0" borderId="23" xfId="0" applyBorder="1" applyAlignment="1">
      <alignment horizontal="right"/>
    </xf>
    <xf numFmtId="0" fontId="23" fillId="0" borderId="47" xfId="0" applyFont="1" applyBorder="1" applyAlignment="1">
      <alignment horizontal="center" vertical="center" wrapText="1"/>
    </xf>
    <xf numFmtId="0" fontId="23" fillId="0" borderId="0" xfId="0" applyFont="1" applyAlignment="1">
      <alignment horizontal="center" vertical="center" wrapText="1"/>
    </xf>
    <xf numFmtId="0" fontId="23" fillId="0" borderId="48" xfId="0" applyFont="1" applyBorder="1" applyAlignment="1">
      <alignment horizontal="center" vertical="center" wrapText="1"/>
    </xf>
    <xf numFmtId="0" fontId="22" fillId="0" borderId="18" xfId="0" applyFont="1" applyBorder="1" applyAlignment="1">
      <alignment horizontal="center"/>
    </xf>
    <xf numFmtId="0" fontId="22" fillId="0" borderId="19" xfId="0" applyFont="1" applyBorder="1" applyAlignment="1">
      <alignment horizontal="center"/>
    </xf>
    <xf numFmtId="0" fontId="22" fillId="0" borderId="29" xfId="0" applyFont="1" applyBorder="1" applyAlignment="1">
      <alignment horizontal="center"/>
    </xf>
    <xf numFmtId="179" fontId="0" fillId="16" borderId="3" xfId="0" applyNumberFormat="1" applyFill="1" applyBorder="1" applyAlignment="1">
      <alignment horizontal="center"/>
    </xf>
    <xf numFmtId="179" fontId="22" fillId="0" borderId="18" xfId="0" applyNumberFormat="1" applyFont="1" applyBorder="1" applyAlignment="1">
      <alignment horizontal="center"/>
    </xf>
    <xf numFmtId="179" fontId="22" fillId="0" borderId="19" xfId="0" applyNumberFormat="1" applyFont="1" applyBorder="1" applyAlignment="1">
      <alignment horizontal="center"/>
    </xf>
    <xf numFmtId="179" fontId="22" fillId="0" borderId="29" xfId="0" applyNumberFormat="1" applyFont="1" applyBorder="1" applyAlignment="1">
      <alignment horizontal="center"/>
    </xf>
    <xf numFmtId="0" fontId="112" fillId="0" borderId="0" xfId="0" applyFont="1" applyAlignment="1">
      <alignment horizontal="center"/>
    </xf>
    <xf numFmtId="0" fontId="0" fillId="6" borderId="3" xfId="0" applyFill="1" applyBorder="1" applyAlignment="1">
      <alignment horizontal="center" vertical="center"/>
    </xf>
    <xf numFmtId="0" fontId="7" fillId="0" borderId="26" xfId="0" applyFont="1" applyBorder="1" applyAlignment="1">
      <alignment horizontal="center" vertical="center"/>
    </xf>
    <xf numFmtId="0" fontId="7" fillId="0" borderId="25" xfId="0" applyFont="1" applyBorder="1" applyAlignment="1">
      <alignment horizontal="center" vertical="center"/>
    </xf>
    <xf numFmtId="0" fontId="7" fillId="0" borderId="27" xfId="0" applyFont="1" applyBorder="1" applyAlignment="1">
      <alignment horizontal="center" vertical="center"/>
    </xf>
    <xf numFmtId="0" fontId="10" fillId="0" borderId="3" xfId="0" applyFont="1" applyBorder="1" applyAlignment="1">
      <alignment horizontal="center" vertical="center"/>
    </xf>
    <xf numFmtId="0" fontId="69" fillId="0" borderId="64" xfId="0" applyFont="1" applyBorder="1" applyAlignment="1">
      <alignment horizontal="center" vertical="center" wrapText="1"/>
    </xf>
    <xf numFmtId="0" fontId="69" fillId="0" borderId="65" xfId="0" applyFont="1" applyBorder="1" applyAlignment="1">
      <alignment horizontal="center" vertical="center" wrapText="1"/>
    </xf>
    <xf numFmtId="0" fontId="69" fillId="0" borderId="66" xfId="0" applyFont="1" applyBorder="1" applyAlignment="1">
      <alignment horizontal="center" vertical="center" wrapText="1"/>
    </xf>
    <xf numFmtId="0" fontId="69" fillId="0" borderId="62" xfId="0" applyFont="1" applyBorder="1" applyAlignment="1">
      <alignment horizontal="center" vertical="center" wrapText="1"/>
    </xf>
    <xf numFmtId="0" fontId="69" fillId="0" borderId="77" xfId="0" applyFont="1" applyBorder="1" applyAlignment="1">
      <alignment horizontal="center" vertical="center" wrapText="1"/>
    </xf>
    <xf numFmtId="0" fontId="69" fillId="0" borderId="63" xfId="0" applyFont="1" applyBorder="1" applyAlignment="1">
      <alignment horizontal="center" vertical="center" wrapText="1"/>
    </xf>
    <xf numFmtId="0" fontId="67" fillId="0" borderId="57" xfId="0" applyFont="1" applyBorder="1" applyAlignment="1">
      <alignment horizontal="center" vertical="center" wrapText="1"/>
    </xf>
    <xf numFmtId="0" fontId="67" fillId="0" borderId="58" xfId="0" applyFont="1" applyBorder="1" applyAlignment="1">
      <alignment horizontal="center" vertical="center" wrapText="1"/>
    </xf>
    <xf numFmtId="0" fontId="24" fillId="0" borderId="41" xfId="0" applyFont="1" applyBorder="1" applyAlignment="1">
      <alignment horizontal="center" vertical="center" wrapText="1"/>
    </xf>
    <xf numFmtId="0" fontId="24" fillId="0" borderId="42" xfId="0" applyFont="1" applyBorder="1" applyAlignment="1">
      <alignment horizontal="center" vertical="center" wrapText="1"/>
    </xf>
    <xf numFmtId="0" fontId="24" fillId="0" borderId="43" xfId="0" applyFont="1" applyBorder="1" applyAlignment="1">
      <alignment horizontal="center" vertical="center" wrapText="1"/>
    </xf>
    <xf numFmtId="0" fontId="24" fillId="0" borderId="44" xfId="0" applyFont="1" applyBorder="1" applyAlignment="1">
      <alignment horizontal="center" vertical="center" wrapText="1"/>
    </xf>
    <xf numFmtId="0" fontId="24" fillId="0" borderId="45" xfId="0" applyFont="1" applyBorder="1" applyAlignment="1">
      <alignment horizontal="center" vertical="center" wrapText="1"/>
    </xf>
    <xf numFmtId="0" fontId="24" fillId="0" borderId="46" xfId="0" applyFont="1" applyBorder="1" applyAlignment="1">
      <alignment horizontal="center" vertical="center" wrapText="1"/>
    </xf>
    <xf numFmtId="0" fontId="11" fillId="16" borderId="22" xfId="0" applyFont="1" applyFill="1" applyBorder="1" applyAlignment="1">
      <alignment horizontal="right"/>
    </xf>
    <xf numFmtId="0" fontId="11" fillId="16" borderId="23" xfId="0" applyFont="1" applyFill="1" applyBorder="1" applyAlignment="1">
      <alignment horizontal="right"/>
    </xf>
    <xf numFmtId="0" fontId="11" fillId="0" borderId="0" xfId="0" applyFont="1" applyAlignment="1">
      <alignment horizontal="center"/>
    </xf>
    <xf numFmtId="0" fontId="11" fillId="0" borderId="3" xfId="0" applyFont="1" applyBorder="1" applyAlignment="1">
      <alignment horizontal="center"/>
    </xf>
    <xf numFmtId="0" fontId="11" fillId="0" borderId="21" xfId="0" applyFont="1" applyBorder="1" applyAlignment="1">
      <alignment horizontal="center"/>
    </xf>
    <xf numFmtId="0" fontId="11" fillId="16" borderId="3" xfId="0" applyFont="1" applyFill="1" applyBorder="1" applyAlignment="1">
      <alignment horizontal="center"/>
    </xf>
    <xf numFmtId="0" fontId="11" fillId="16" borderId="21" xfId="0" applyFont="1" applyFill="1" applyBorder="1" applyAlignment="1">
      <alignment horizontal="center"/>
    </xf>
    <xf numFmtId="0" fontId="5" fillId="0" borderId="26" xfId="0" applyFont="1" applyBorder="1" applyAlignment="1">
      <alignment horizontal="center"/>
    </xf>
    <xf numFmtId="0" fontId="5" fillId="0" borderId="25" xfId="0" applyFont="1" applyBorder="1" applyAlignment="1">
      <alignment horizontal="center"/>
    </xf>
    <xf numFmtId="0" fontId="11" fillId="0" borderId="0" xfId="0" applyFont="1" applyAlignment="1">
      <alignment horizontal="center" vertical="center" wrapText="1"/>
    </xf>
    <xf numFmtId="0" fontId="9" fillId="0" borderId="14" xfId="0" applyFont="1" applyBorder="1" applyAlignment="1">
      <alignment horizontal="center"/>
    </xf>
    <xf numFmtId="0" fontId="9" fillId="0" borderId="15" xfId="0" applyFont="1" applyBorder="1" applyAlignment="1">
      <alignment horizontal="center"/>
    </xf>
    <xf numFmtId="0" fontId="11" fillId="0" borderId="3" xfId="0" applyFont="1" applyBorder="1" applyAlignment="1">
      <alignment horizontal="left"/>
    </xf>
    <xf numFmtId="0" fontId="11" fillId="0" borderId="21" xfId="0" applyFont="1" applyBorder="1" applyAlignment="1">
      <alignment horizontal="left"/>
    </xf>
    <xf numFmtId="0" fontId="21" fillId="0" borderId="0" xfId="0" applyFont="1" applyAlignment="1">
      <alignment horizontal="center" vertical="center" wrapText="1"/>
    </xf>
    <xf numFmtId="0" fontId="11" fillId="0" borderId="40" xfId="0" applyFont="1" applyBorder="1" applyAlignment="1">
      <alignment horizontal="center"/>
    </xf>
    <xf numFmtId="0" fontId="11" fillId="0" borderId="0" xfId="0" applyFont="1" applyAlignment="1">
      <alignment horizontal="center" vertical="center"/>
    </xf>
    <xf numFmtId="0" fontId="11" fillId="0" borderId="40" xfId="0" applyFont="1" applyBorder="1" applyAlignment="1">
      <alignment horizontal="center" vertical="center"/>
    </xf>
    <xf numFmtId="0" fontId="5" fillId="0" borderId="0" xfId="0" applyFont="1" applyAlignment="1">
      <alignment horizontal="center"/>
    </xf>
    <xf numFmtId="0" fontId="11" fillId="16" borderId="26" xfId="0" applyFont="1" applyFill="1" applyBorder="1" applyAlignment="1">
      <alignment horizontal="center"/>
    </xf>
    <xf numFmtId="0" fontId="11" fillId="16" borderId="27" xfId="0" applyFont="1" applyFill="1"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10" fillId="0" borderId="0" xfId="0" applyFont="1" applyAlignment="1">
      <alignment horizontal="center" vertical="center" wrapText="1"/>
    </xf>
    <xf numFmtId="0" fontId="0" fillId="0" borderId="0" xfId="0" applyAlignment="1">
      <alignment horizontal="center" vertical="center"/>
    </xf>
    <xf numFmtId="0" fontId="2" fillId="0" borderId="0" xfId="0" applyFont="1" applyAlignment="1">
      <alignment horizontal="center"/>
    </xf>
    <xf numFmtId="0" fontId="10" fillId="0" borderId="0" xfId="0" applyFont="1" applyAlignment="1">
      <alignment horizontal="center"/>
    </xf>
    <xf numFmtId="0" fontId="0" fillId="0" borderId="3" xfId="0" applyBorder="1" applyAlignment="1">
      <alignment horizontal="center"/>
    </xf>
    <xf numFmtId="0" fontId="0" fillId="0" borderId="21" xfId="0" applyBorder="1" applyAlignment="1">
      <alignment horizontal="center"/>
    </xf>
    <xf numFmtId="0" fontId="0" fillId="0" borderId="12"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10" xfId="0" applyBorder="1" applyAlignment="1">
      <alignment horizontal="center"/>
    </xf>
    <xf numFmtId="0" fontId="75" fillId="0" borderId="0" xfId="0" applyFont="1" applyAlignment="1">
      <alignment horizontal="center"/>
    </xf>
    <xf numFmtId="0" fontId="62" fillId="0" borderId="0" xfId="0" applyFont="1" applyAlignment="1">
      <alignment horizontal="center" vertical="center" wrapText="1"/>
    </xf>
    <xf numFmtId="0" fontId="63" fillId="0" borderId="64" xfId="0" applyFont="1" applyBorder="1" applyAlignment="1">
      <alignment horizontal="center" vertical="center" wrapText="1"/>
    </xf>
    <xf numFmtId="0" fontId="63" fillId="0" borderId="65" xfId="0" applyFont="1" applyBorder="1" applyAlignment="1">
      <alignment horizontal="center" vertical="center" wrapText="1"/>
    </xf>
    <xf numFmtId="0" fontId="63" fillId="0" borderId="66" xfId="0" applyFont="1" applyBorder="1" applyAlignment="1">
      <alignment horizontal="center" vertical="center" wrapText="1"/>
    </xf>
    <xf numFmtId="0" fontId="64" fillId="0" borderId="67" xfId="0" applyFont="1" applyBorder="1" applyAlignment="1">
      <alignment horizontal="center" vertical="center" wrapText="1"/>
    </xf>
    <xf numFmtId="0" fontId="64" fillId="0" borderId="68" xfId="0" applyFont="1" applyBorder="1" applyAlignment="1">
      <alignment horizontal="center" vertical="center" wrapText="1"/>
    </xf>
    <xf numFmtId="0" fontId="64" fillId="0" borderId="69" xfId="0" applyFont="1" applyBorder="1" applyAlignment="1">
      <alignment horizontal="center" vertical="center" wrapText="1"/>
    </xf>
    <xf numFmtId="0" fontId="63" fillId="0" borderId="60" xfId="0" applyFont="1" applyBorder="1" applyAlignment="1">
      <alignment horizontal="center" vertical="center" wrapText="1"/>
    </xf>
    <xf numFmtId="0" fontId="63" fillId="0" borderId="61" xfId="0" applyFont="1" applyBorder="1" applyAlignment="1">
      <alignment horizontal="center" vertical="center" wrapText="1"/>
    </xf>
    <xf numFmtId="0" fontId="2" fillId="0" borderId="26" xfId="0" applyFont="1" applyBorder="1" applyAlignment="1">
      <alignment horizontal="center"/>
    </xf>
    <xf numFmtId="0" fontId="2" fillId="0" borderId="25" xfId="0" applyFont="1" applyBorder="1" applyAlignment="1">
      <alignment horizontal="center"/>
    </xf>
    <xf numFmtId="0" fontId="2" fillId="0" borderId="27" xfId="0" applyFont="1" applyBorder="1" applyAlignment="1">
      <alignment horizontal="center"/>
    </xf>
    <xf numFmtId="0" fontId="10" fillId="8" borderId="14" xfId="0" applyFont="1" applyFill="1" applyBorder="1" applyAlignment="1">
      <alignment horizontal="center" vertical="center" wrapText="1"/>
    </xf>
    <xf numFmtId="0" fontId="0" fillId="8" borderId="10" xfId="0" applyFill="1" applyBorder="1" applyAlignment="1">
      <alignment horizontal="center" vertical="center" wrapText="1"/>
    </xf>
    <xf numFmtId="0" fontId="0" fillId="8" borderId="12" xfId="0" applyFill="1" applyBorder="1" applyAlignment="1">
      <alignment horizontal="center" vertical="center" wrapText="1"/>
    </xf>
    <xf numFmtId="0" fontId="0" fillId="8" borderId="11" xfId="0" applyFill="1" applyBorder="1" applyAlignment="1">
      <alignment horizontal="center" vertical="center" wrapText="1"/>
    </xf>
    <xf numFmtId="0" fontId="0" fillId="8" borderId="16" xfId="0" applyFill="1" applyBorder="1" applyAlignment="1">
      <alignment horizontal="center" vertical="center" wrapText="1"/>
    </xf>
    <xf numFmtId="0" fontId="0" fillId="8" borderId="13" xfId="0" applyFill="1" applyBorder="1" applyAlignment="1">
      <alignment horizontal="center" vertical="center" wrapText="1"/>
    </xf>
    <xf numFmtId="0" fontId="0" fillId="0" borderId="0" xfId="0" applyAlignment="1">
      <alignment horizontal="center" wrapText="1"/>
    </xf>
    <xf numFmtId="189" fontId="0" fillId="0" borderId="0" xfId="0" quotePrefix="1" applyNumberFormat="1" applyAlignment="1">
      <alignment horizontal="center" vertical="center"/>
    </xf>
    <xf numFmtId="189" fontId="0" fillId="0" borderId="0" xfId="0" applyNumberFormat="1" applyAlignment="1">
      <alignment horizontal="center" vertical="center"/>
    </xf>
    <xf numFmtId="0" fontId="86" fillId="6" borderId="0" xfId="0" applyFont="1" applyFill="1" applyAlignment="1">
      <alignment horizontal="center" vertical="center" wrapText="1"/>
    </xf>
    <xf numFmtId="0" fontId="2" fillId="0" borderId="0" xfId="0" applyFont="1" applyAlignment="1">
      <alignment horizontal="center" vertical="center" wrapText="1"/>
    </xf>
    <xf numFmtId="0" fontId="0" fillId="0" borderId="17" xfId="0" applyBorder="1" applyAlignment="1">
      <alignment horizontal="center"/>
    </xf>
    <xf numFmtId="0" fontId="0" fillId="0" borderId="6" xfId="0" applyBorder="1" applyAlignment="1">
      <alignment horizontal="center"/>
    </xf>
    <xf numFmtId="0" fontId="10" fillId="0" borderId="14" xfId="0" applyFont="1" applyBorder="1" applyAlignment="1">
      <alignment horizontal="center"/>
    </xf>
    <xf numFmtId="0" fontId="10" fillId="0" borderId="20" xfId="0" applyFont="1" applyBorder="1" applyAlignment="1">
      <alignment horizontal="center"/>
    </xf>
    <xf numFmtId="0" fontId="10" fillId="0" borderId="25" xfId="0" applyFont="1" applyBorder="1" applyAlignment="1">
      <alignment horizontal="center"/>
    </xf>
  </cellXfs>
  <cellStyles count="2">
    <cellStyle name="Hyperlink" xfId="1" builtinId="8"/>
    <cellStyle name="Normal" xfId="0" builtinId="0"/>
  </cellStyles>
  <dxfs count="0"/>
  <tableStyles count="0" defaultTableStyle="TableStyleMedium9" defaultPivotStyle="PivotStyleLight16"/>
  <colors>
    <mruColors>
      <color rgb="FF0000FF"/>
      <color rgb="FFFF00FF"/>
      <color rgb="FFFF66FF"/>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Threshold of Audibility - ANSI S3.6-1996</a:t>
            </a:r>
          </a:p>
        </c:rich>
      </c:tx>
      <c:layout>
        <c:manualLayout>
          <c:xMode val="edge"/>
          <c:yMode val="edge"/>
          <c:x val="0.25755166931637519"/>
          <c:y val="3.3898305084745763E-2"/>
        </c:manualLayout>
      </c:layout>
      <c:overlay val="0"/>
      <c:spPr>
        <a:noFill/>
        <a:ln w="25400">
          <a:noFill/>
        </a:ln>
      </c:spPr>
    </c:title>
    <c:autoTitleDeleted val="0"/>
    <c:plotArea>
      <c:layout>
        <c:manualLayout>
          <c:layoutTarget val="inner"/>
          <c:xMode val="edge"/>
          <c:yMode val="edge"/>
          <c:x val="0.12400635930047695"/>
          <c:y val="0.13841846094428889"/>
          <c:w val="0.82034976152623207"/>
          <c:h val="0.63841984027365895"/>
        </c:manualLayout>
      </c:layout>
      <c:lineChart>
        <c:grouping val="standard"/>
        <c:varyColors val="0"/>
        <c:ser>
          <c:idx val="1"/>
          <c:order val="0"/>
          <c:tx>
            <c:v>RETSPL</c:v>
          </c:tx>
          <c:spPr>
            <a:ln w="38100">
              <a:solidFill>
                <a:srgbClr val="FF0000"/>
              </a:solidFill>
              <a:prstDash val="solid"/>
            </a:ln>
          </c:spPr>
          <c:marker>
            <c:symbol val="circle"/>
            <c:size val="3"/>
            <c:spPr>
              <a:solidFill>
                <a:srgbClr val="000000"/>
              </a:solidFill>
              <a:ln>
                <a:solidFill>
                  <a:srgbClr val="000000"/>
                </a:solidFill>
                <a:prstDash val="solid"/>
              </a:ln>
            </c:spPr>
          </c:marker>
          <c:cat>
            <c:numLit>
              <c:formatCode>General</c:formatCode>
              <c:ptCount val="11"/>
              <c:pt idx="0">
                <c:v>125</c:v>
              </c:pt>
              <c:pt idx="1">
                <c:v>250</c:v>
              </c:pt>
              <c:pt idx="2">
                <c:v>500</c:v>
              </c:pt>
              <c:pt idx="3">
                <c:v>750</c:v>
              </c:pt>
              <c:pt idx="4">
                <c:v>1000</c:v>
              </c:pt>
              <c:pt idx="5">
                <c:v>1500</c:v>
              </c:pt>
              <c:pt idx="6">
                <c:v>2000</c:v>
              </c:pt>
              <c:pt idx="7">
                <c:v>3000</c:v>
              </c:pt>
              <c:pt idx="8">
                <c:v>4000</c:v>
              </c:pt>
              <c:pt idx="9">
                <c:v>6000</c:v>
              </c:pt>
              <c:pt idx="10">
                <c:v>8000</c:v>
              </c:pt>
            </c:numLit>
          </c:cat>
          <c:val>
            <c:numLit>
              <c:formatCode>General</c:formatCode>
              <c:ptCount val="11"/>
              <c:pt idx="0">
                <c:v>45</c:v>
              </c:pt>
              <c:pt idx="1">
                <c:v>27</c:v>
              </c:pt>
              <c:pt idx="2">
                <c:v>13.5</c:v>
              </c:pt>
              <c:pt idx="3">
                <c:v>9</c:v>
              </c:pt>
              <c:pt idx="4">
                <c:v>7.5</c:v>
              </c:pt>
              <c:pt idx="5">
                <c:v>7.5</c:v>
              </c:pt>
              <c:pt idx="6">
                <c:v>9</c:v>
              </c:pt>
              <c:pt idx="7">
                <c:v>11.5</c:v>
              </c:pt>
              <c:pt idx="8">
                <c:v>12</c:v>
              </c:pt>
              <c:pt idx="9">
                <c:v>16</c:v>
              </c:pt>
              <c:pt idx="10">
                <c:v>15.5</c:v>
              </c:pt>
            </c:numLit>
          </c:val>
          <c:smooth val="0"/>
          <c:extLst>
            <c:ext xmlns:c16="http://schemas.microsoft.com/office/drawing/2014/chart" uri="{C3380CC4-5D6E-409C-BE32-E72D297353CC}">
              <c16:uniqueId val="{00000000-4BCF-4796-A14C-B01CEFB2DAE2}"/>
            </c:ext>
          </c:extLst>
        </c:ser>
        <c:dLbls>
          <c:showLegendKey val="0"/>
          <c:showVal val="0"/>
          <c:showCatName val="0"/>
          <c:showSerName val="0"/>
          <c:showPercent val="0"/>
          <c:showBubbleSize val="0"/>
        </c:dLbls>
        <c:marker val="1"/>
        <c:smooth val="0"/>
        <c:axId val="112706560"/>
        <c:axId val="89014848"/>
      </c:lineChart>
      <c:catAx>
        <c:axId val="112706560"/>
        <c:scaling>
          <c:orientation val="minMax"/>
        </c:scaling>
        <c:delete val="0"/>
        <c:axPos val="b"/>
        <c:title>
          <c:tx>
            <c:rich>
              <a:bodyPr/>
              <a:lstStyle/>
              <a:p>
                <a:pPr>
                  <a:defRPr sz="1175" b="1" i="0" u="none" strike="noStrike" baseline="0">
                    <a:solidFill>
                      <a:srgbClr val="000000"/>
                    </a:solidFill>
                    <a:latin typeface="Arial"/>
                    <a:ea typeface="Arial"/>
                    <a:cs typeface="Arial"/>
                  </a:defRPr>
                </a:pPr>
                <a:r>
                  <a:rPr lang="en-US"/>
                  <a:t>Frequency (Hz)</a:t>
                </a:r>
              </a:p>
            </c:rich>
          </c:tx>
          <c:layout>
            <c:manualLayout>
              <c:xMode val="edge"/>
              <c:yMode val="edge"/>
              <c:x val="0.43720190779014306"/>
              <c:y val="0.878533446031110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89014848"/>
        <c:crosses val="autoZero"/>
        <c:auto val="1"/>
        <c:lblAlgn val="ctr"/>
        <c:lblOffset val="100"/>
        <c:tickLblSkip val="1"/>
        <c:tickMarkSkip val="1"/>
        <c:noMultiLvlLbl val="0"/>
      </c:catAx>
      <c:valAx>
        <c:axId val="89014848"/>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Sound Pressure Level (dB SLP)</a:t>
                </a:r>
              </a:p>
            </c:rich>
          </c:tx>
          <c:layout>
            <c:manualLayout>
              <c:xMode val="edge"/>
              <c:yMode val="edge"/>
              <c:x val="3.3386327503974564E-2"/>
              <c:y val="0.1723169773269866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12706560"/>
        <c:crosses val="autoZero"/>
        <c:crossBetween val="midCat"/>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Threshold of Audibility - ANSI S3.6-1996</a:t>
            </a:r>
          </a:p>
        </c:rich>
      </c:tx>
      <c:layout>
        <c:manualLayout>
          <c:xMode val="edge"/>
          <c:yMode val="edge"/>
          <c:x val="0.25755166931637519"/>
          <c:y val="3.3898305084745763E-2"/>
        </c:manualLayout>
      </c:layout>
      <c:overlay val="0"/>
      <c:spPr>
        <a:noFill/>
        <a:ln w="25400">
          <a:noFill/>
        </a:ln>
      </c:spPr>
    </c:title>
    <c:autoTitleDeleted val="0"/>
    <c:plotArea>
      <c:layout>
        <c:manualLayout>
          <c:layoutTarget val="inner"/>
          <c:xMode val="edge"/>
          <c:yMode val="edge"/>
          <c:x val="0.12400635930047695"/>
          <c:y val="0.13841846094428889"/>
          <c:w val="0.82034976152623207"/>
          <c:h val="0.63841984027365895"/>
        </c:manualLayout>
      </c:layout>
      <c:lineChart>
        <c:grouping val="standard"/>
        <c:varyColors val="0"/>
        <c:ser>
          <c:idx val="1"/>
          <c:order val="0"/>
          <c:tx>
            <c:v>RETSPL</c:v>
          </c:tx>
          <c:spPr>
            <a:ln w="38100">
              <a:solidFill>
                <a:srgbClr val="FF0000"/>
              </a:solidFill>
              <a:prstDash val="solid"/>
            </a:ln>
          </c:spPr>
          <c:marker>
            <c:symbol val="circle"/>
            <c:size val="3"/>
            <c:spPr>
              <a:solidFill>
                <a:srgbClr val="000000"/>
              </a:solidFill>
              <a:ln>
                <a:solidFill>
                  <a:srgbClr val="000000"/>
                </a:solidFill>
                <a:prstDash val="solid"/>
              </a:ln>
            </c:spPr>
          </c:marker>
          <c:cat>
            <c:numLit>
              <c:formatCode>General</c:formatCode>
              <c:ptCount val="11"/>
              <c:pt idx="0">
                <c:v>125</c:v>
              </c:pt>
              <c:pt idx="1">
                <c:v>250</c:v>
              </c:pt>
              <c:pt idx="2">
                <c:v>500</c:v>
              </c:pt>
              <c:pt idx="3">
                <c:v>750</c:v>
              </c:pt>
              <c:pt idx="4">
                <c:v>1000</c:v>
              </c:pt>
              <c:pt idx="5">
                <c:v>1500</c:v>
              </c:pt>
              <c:pt idx="6">
                <c:v>2000</c:v>
              </c:pt>
              <c:pt idx="7">
                <c:v>3000</c:v>
              </c:pt>
              <c:pt idx="8">
                <c:v>4000</c:v>
              </c:pt>
              <c:pt idx="9">
                <c:v>6000</c:v>
              </c:pt>
              <c:pt idx="10">
                <c:v>8000</c:v>
              </c:pt>
            </c:numLit>
          </c:cat>
          <c:val>
            <c:numLit>
              <c:formatCode>General</c:formatCode>
              <c:ptCount val="11"/>
              <c:pt idx="0">
                <c:v>45</c:v>
              </c:pt>
              <c:pt idx="1">
                <c:v>27</c:v>
              </c:pt>
              <c:pt idx="2">
                <c:v>13.5</c:v>
              </c:pt>
              <c:pt idx="3">
                <c:v>9</c:v>
              </c:pt>
              <c:pt idx="4">
                <c:v>7.5</c:v>
              </c:pt>
              <c:pt idx="5">
                <c:v>7.5</c:v>
              </c:pt>
              <c:pt idx="6">
                <c:v>9</c:v>
              </c:pt>
              <c:pt idx="7">
                <c:v>11.5</c:v>
              </c:pt>
              <c:pt idx="8">
                <c:v>12</c:v>
              </c:pt>
              <c:pt idx="9">
                <c:v>16</c:v>
              </c:pt>
              <c:pt idx="10">
                <c:v>15.5</c:v>
              </c:pt>
            </c:numLit>
          </c:val>
          <c:smooth val="0"/>
          <c:extLst>
            <c:ext xmlns:c16="http://schemas.microsoft.com/office/drawing/2014/chart" uri="{C3380CC4-5D6E-409C-BE32-E72D297353CC}">
              <c16:uniqueId val="{00000000-8EDD-46DA-9A3C-51B376FE2DEC}"/>
            </c:ext>
          </c:extLst>
        </c:ser>
        <c:dLbls>
          <c:showLegendKey val="0"/>
          <c:showVal val="0"/>
          <c:showCatName val="0"/>
          <c:showSerName val="0"/>
          <c:showPercent val="0"/>
          <c:showBubbleSize val="0"/>
        </c:dLbls>
        <c:marker val="1"/>
        <c:smooth val="0"/>
        <c:axId val="112707584"/>
        <c:axId val="89016000"/>
      </c:lineChart>
      <c:catAx>
        <c:axId val="112707584"/>
        <c:scaling>
          <c:orientation val="minMax"/>
        </c:scaling>
        <c:delete val="0"/>
        <c:axPos val="b"/>
        <c:title>
          <c:tx>
            <c:rich>
              <a:bodyPr/>
              <a:lstStyle/>
              <a:p>
                <a:pPr>
                  <a:defRPr sz="1175" b="1" i="0" u="none" strike="noStrike" baseline="0">
                    <a:solidFill>
                      <a:srgbClr val="000000"/>
                    </a:solidFill>
                    <a:latin typeface="Arial"/>
                    <a:ea typeface="Arial"/>
                    <a:cs typeface="Arial"/>
                  </a:defRPr>
                </a:pPr>
                <a:r>
                  <a:rPr lang="en-US"/>
                  <a:t>Frequency (Hz)</a:t>
                </a:r>
              </a:p>
            </c:rich>
          </c:tx>
          <c:layout>
            <c:manualLayout>
              <c:xMode val="edge"/>
              <c:yMode val="edge"/>
              <c:x val="0.43720190779014306"/>
              <c:y val="0.878533446031110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89016000"/>
        <c:crosses val="autoZero"/>
        <c:auto val="1"/>
        <c:lblAlgn val="ctr"/>
        <c:lblOffset val="100"/>
        <c:tickLblSkip val="1"/>
        <c:tickMarkSkip val="1"/>
        <c:noMultiLvlLbl val="0"/>
      </c:catAx>
      <c:valAx>
        <c:axId val="89016000"/>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Sound Pressure Level (dB SLP)</a:t>
                </a:r>
              </a:p>
            </c:rich>
          </c:tx>
          <c:layout>
            <c:manualLayout>
              <c:xMode val="edge"/>
              <c:yMode val="edge"/>
              <c:x val="3.3386327503974564E-2"/>
              <c:y val="0.1723169773269866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12707584"/>
        <c:crosses val="autoZero"/>
        <c:crossBetween val="midCat"/>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trlProps/ctrlProp1.xml><?xml version="1.0" encoding="utf-8"?>
<formControlPr xmlns="http://schemas.microsoft.com/office/spreadsheetml/2009/9/main" objectType="Spin" dx="16" fmlaLink="$B$24" max="500" page="10" val="41"/>
</file>

<file path=xl/ctrlProps/ctrlProp2.xml><?xml version="1.0" encoding="utf-8"?>
<formControlPr xmlns="http://schemas.microsoft.com/office/spreadsheetml/2009/9/main" objectType="Spin" dx="16" fmlaLink="$C$24" max="1000" page="10" val="20"/>
</file>

<file path=xl/ctrlProps/ctrlProp3.xml><?xml version="1.0" encoding="utf-8"?>
<formControlPr xmlns="http://schemas.microsoft.com/office/spreadsheetml/2009/9/main" objectType="Spin" dx="16" fmlaLink="$C$24" max="1000" page="10" val="20"/>
</file>

<file path=xl/drawings/_rels/drawing1.xml.rels><?xml version="1.0" encoding="UTF-8" standalone="yes"?>
<Relationships xmlns="http://schemas.openxmlformats.org/package/2006/relationships"><Relationship Id="rId3" Type="http://schemas.openxmlformats.org/officeDocument/2006/relationships/image" Target="../media/image3.gif"/><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gif"/><Relationship Id="rId5" Type="http://schemas.openxmlformats.org/officeDocument/2006/relationships/image" Target="../media/image5.gif"/><Relationship Id="rId4" Type="http://schemas.openxmlformats.org/officeDocument/2006/relationships/image" Target="../media/image4.jp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3.gif"/></Relationships>
</file>

<file path=xl/drawings/_rels/drawing5.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3.gif"/></Relationships>
</file>

<file path=xl/drawings/_rels/drawing6.xml.rels><?xml version="1.0" encoding="UTF-8" standalone="yes"?>
<Relationships xmlns="http://schemas.openxmlformats.org/package/2006/relationships"><Relationship Id="rId1" Type="http://schemas.openxmlformats.org/officeDocument/2006/relationships/image" Target="../media/image11.gif"/></Relationships>
</file>

<file path=xl/drawings/_rels/drawing7.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4</xdr:col>
      <xdr:colOff>196850</xdr:colOff>
      <xdr:row>93</xdr:row>
      <xdr:rowOff>9940</xdr:rowOff>
    </xdr:from>
    <xdr:to>
      <xdr:col>4</xdr:col>
      <xdr:colOff>1806575</xdr:colOff>
      <xdr:row>100</xdr:row>
      <xdr:rowOff>9718</xdr:rowOff>
    </xdr:to>
    <xdr:pic>
      <xdr:nvPicPr>
        <xdr:cNvPr id="5248" name="Picture 3" descr="equilateral_triangle_image">
          <a:extLst>
            <a:ext uri="{FF2B5EF4-FFF2-40B4-BE49-F238E27FC236}">
              <a16:creationId xmlns:a16="http://schemas.microsoft.com/office/drawing/2014/main" id="{00000000-0008-0000-0000-0000801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320459" y="16768418"/>
          <a:ext cx="1609725" cy="1391257"/>
        </a:xfrm>
        <a:prstGeom prst="rect">
          <a:avLst/>
        </a:prstGeom>
        <a:noFill/>
        <a:ln w="9525">
          <a:noFill/>
          <a:miter lim="800000"/>
          <a:headEnd/>
          <a:tailEnd/>
        </a:ln>
      </xdr:spPr>
    </xdr:pic>
    <xdr:clientData/>
  </xdr:twoCellAnchor>
  <xdr:twoCellAnchor editAs="oneCell">
    <xdr:from>
      <xdr:col>0</xdr:col>
      <xdr:colOff>19050</xdr:colOff>
      <xdr:row>102</xdr:row>
      <xdr:rowOff>542925</xdr:rowOff>
    </xdr:from>
    <xdr:to>
      <xdr:col>2</xdr:col>
      <xdr:colOff>895350</xdr:colOff>
      <xdr:row>110</xdr:row>
      <xdr:rowOff>127611</xdr:rowOff>
    </xdr:to>
    <xdr:pic>
      <xdr:nvPicPr>
        <xdr:cNvPr id="5252" name="Picture 7" descr="Frequency Regions">
          <a:extLst>
            <a:ext uri="{FF2B5EF4-FFF2-40B4-BE49-F238E27FC236}">
              <a16:creationId xmlns:a16="http://schemas.microsoft.com/office/drawing/2014/main" id="{00000000-0008-0000-0000-00008414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50" y="18916650"/>
          <a:ext cx="4743450" cy="1340157"/>
        </a:xfrm>
        <a:prstGeom prst="rect">
          <a:avLst/>
        </a:prstGeom>
        <a:noFill/>
        <a:ln w="9525">
          <a:noFill/>
          <a:miter lim="800000"/>
          <a:headEnd/>
          <a:tailEnd/>
        </a:ln>
      </xdr:spPr>
    </xdr:pic>
    <xdr:clientData/>
  </xdr:twoCellAnchor>
  <xdr:twoCellAnchor editAs="oneCell">
    <xdr:from>
      <xdr:col>6</xdr:col>
      <xdr:colOff>228600</xdr:colOff>
      <xdr:row>1</xdr:row>
      <xdr:rowOff>76200</xdr:rowOff>
    </xdr:from>
    <xdr:to>
      <xdr:col>6</xdr:col>
      <xdr:colOff>419100</xdr:colOff>
      <xdr:row>1</xdr:row>
      <xdr:rowOff>266700</xdr:rowOff>
    </xdr:to>
    <xdr:pic>
      <xdr:nvPicPr>
        <xdr:cNvPr id="5253" name="Picture 8" descr="ylsmoke">
          <a:extLst>
            <a:ext uri="{FF2B5EF4-FFF2-40B4-BE49-F238E27FC236}">
              <a16:creationId xmlns:a16="http://schemas.microsoft.com/office/drawing/2014/main" id="{00000000-0008-0000-0000-000085140000}"/>
            </a:ext>
          </a:extLst>
        </xdr:cNvPr>
        <xdr:cNvPicPr>
          <a:picLocks noChangeAspect="1" noChangeArrowheads="1"/>
        </xdr:cNvPicPr>
      </xdr:nvPicPr>
      <xdr:blipFill>
        <a:blip xmlns:r="http://schemas.openxmlformats.org/officeDocument/2006/relationships" r:embed="rId3"/>
        <a:srcRect/>
        <a:stretch>
          <a:fillRect/>
        </a:stretch>
      </xdr:blipFill>
      <xdr:spPr bwMode="auto">
        <a:xfrm>
          <a:off x="9182100" y="390525"/>
          <a:ext cx="190500" cy="190500"/>
        </a:xfrm>
        <a:prstGeom prst="rect">
          <a:avLst/>
        </a:prstGeom>
        <a:noFill/>
        <a:ln w="9525">
          <a:noFill/>
          <a:miter lim="800000"/>
          <a:headEnd/>
          <a:tailEnd/>
        </a:ln>
      </xdr:spPr>
    </xdr:pic>
    <xdr:clientData/>
  </xdr:twoCellAnchor>
  <xdr:twoCellAnchor editAs="oneCell">
    <xdr:from>
      <xdr:col>0</xdr:col>
      <xdr:colOff>66675</xdr:colOff>
      <xdr:row>18</xdr:row>
      <xdr:rowOff>57150</xdr:rowOff>
    </xdr:from>
    <xdr:to>
      <xdr:col>8</xdr:col>
      <xdr:colOff>29071</xdr:colOff>
      <xdr:row>58</xdr:row>
      <xdr:rowOff>104774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6675" y="3810000"/>
          <a:ext cx="11011396" cy="6524624"/>
        </a:xfrm>
        <a:prstGeom prst="rect">
          <a:avLst/>
        </a:prstGeom>
      </xdr:spPr>
    </xdr:pic>
    <xdr:clientData/>
  </xdr:twoCellAnchor>
  <xdr:twoCellAnchor>
    <xdr:from>
      <xdr:col>4</xdr:col>
      <xdr:colOff>1076325</xdr:colOff>
      <xdr:row>3</xdr:row>
      <xdr:rowOff>152400</xdr:rowOff>
    </xdr:from>
    <xdr:to>
      <xdr:col>7</xdr:col>
      <xdr:colOff>200025</xdr:colOff>
      <xdr:row>14</xdr:row>
      <xdr:rowOff>114300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6924675" y="962025"/>
          <a:ext cx="3267075" cy="2171700"/>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002060"/>
              </a:solidFill>
            </a:rPr>
            <a:t>This spreadsheet</a:t>
          </a:r>
          <a:r>
            <a:rPr lang="en-US" sz="1100" baseline="0">
              <a:solidFill>
                <a:srgbClr val="002060"/>
              </a:solidFill>
            </a:rPr>
            <a:t> is getting huge! </a:t>
          </a:r>
        </a:p>
        <a:p>
          <a:endParaRPr lang="en-US" sz="1100" baseline="0">
            <a:solidFill>
              <a:srgbClr val="002060"/>
            </a:solidFill>
          </a:endParaRPr>
        </a:p>
        <a:p>
          <a:r>
            <a:rPr lang="en-US" sz="1100" baseline="0">
              <a:solidFill>
                <a:srgbClr val="002060"/>
              </a:solidFill>
            </a:rPr>
            <a:t>I keep adding calculations that I perform daily here. I hope that some of this can be useful for others. </a:t>
          </a:r>
        </a:p>
        <a:p>
          <a:endParaRPr lang="en-US" sz="1100" baseline="0">
            <a:solidFill>
              <a:srgbClr val="002060"/>
            </a:solidFill>
          </a:endParaRPr>
        </a:p>
        <a:p>
          <a:r>
            <a:rPr lang="en-US" sz="1100" baseline="0">
              <a:solidFill>
                <a:srgbClr val="002060"/>
              </a:solidFill>
            </a:rPr>
            <a:t>Be very careful not</a:t>
          </a:r>
          <a:r>
            <a:rPr lang="en-US" sz="1100" baseline="0">
              <a:ln w="6350">
                <a:solidFill>
                  <a:schemeClr val="tx1"/>
                </a:solidFill>
              </a:ln>
              <a:solidFill>
                <a:srgbClr val="002060"/>
              </a:solidFill>
            </a:rPr>
            <a:t> </a:t>
          </a:r>
          <a:r>
            <a:rPr lang="en-US" sz="1100" baseline="0">
              <a:solidFill>
                <a:srgbClr val="002060"/>
              </a:solidFill>
            </a:rPr>
            <a:t>to change any formulas! It's safest to use and then NOT save. This way it is reset every time you open it.</a:t>
          </a:r>
        </a:p>
        <a:p>
          <a:endParaRPr lang="en-US" sz="1100" baseline="0">
            <a:solidFill>
              <a:srgbClr val="002060"/>
            </a:solidFill>
          </a:endParaRPr>
        </a:p>
        <a:p>
          <a:r>
            <a:rPr lang="en-US" sz="1100" baseline="0">
              <a:solidFill>
                <a:srgbClr val="002060"/>
              </a:solidFill>
            </a:rPr>
            <a:t>See the new tabs that have been added.</a:t>
          </a:r>
        </a:p>
        <a:p>
          <a:endParaRPr lang="en-US" sz="1100" baseline="0">
            <a:solidFill>
              <a:srgbClr val="002060"/>
            </a:solidFill>
          </a:endParaRPr>
        </a:p>
        <a:p>
          <a:r>
            <a:rPr lang="en-US" sz="1100" baseline="0">
              <a:solidFill>
                <a:srgbClr val="002060"/>
              </a:solidFill>
            </a:rPr>
            <a:t>Enjoy!</a:t>
          </a:r>
          <a:endParaRPr lang="en-US" sz="1100">
            <a:solidFill>
              <a:srgbClr val="002060"/>
            </a:solidFill>
          </a:endParaRPr>
        </a:p>
      </xdr:txBody>
    </xdr:sp>
    <xdr:clientData/>
  </xdr:twoCellAnchor>
  <xdr:twoCellAnchor editAs="oneCell">
    <xdr:from>
      <xdr:col>0</xdr:col>
      <xdr:colOff>447675</xdr:colOff>
      <xdr:row>65</xdr:row>
      <xdr:rowOff>133351</xdr:rowOff>
    </xdr:from>
    <xdr:to>
      <xdr:col>3</xdr:col>
      <xdr:colOff>609600</xdr:colOff>
      <xdr:row>87</xdr:row>
      <xdr:rowOff>133384</xdr:rowOff>
    </xdr:to>
    <xdr:pic>
      <xdr:nvPicPr>
        <xdr:cNvPr id="20" name="Picture 19" descr="http://hyperphysics.phy-astr.gsu.edu/hbase/phyopt/imgpho/fer1.gif">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7675" y="12573001"/>
          <a:ext cx="4962525" cy="35623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876300</xdr:colOff>
      <xdr:row>68</xdr:row>
      <xdr:rowOff>38100</xdr:rowOff>
    </xdr:from>
    <xdr:to>
      <xdr:col>5</xdr:col>
      <xdr:colOff>409575</xdr:colOff>
      <xdr:row>71</xdr:row>
      <xdr:rowOff>9524</xdr:rowOff>
    </xdr:to>
    <xdr:pic>
      <xdr:nvPicPr>
        <xdr:cNvPr id="21" name="Picture 20" descr="http://hyperphysics.phy-astr.gsu.edu/hbase/phyopt/imgpho/fer2.gif">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676900" y="12963525"/>
          <a:ext cx="3028950" cy="45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1057275</xdr:colOff>
      <xdr:row>36</xdr:row>
      <xdr:rowOff>9526</xdr:rowOff>
    </xdr:from>
    <xdr:to>
      <xdr:col>8</xdr:col>
      <xdr:colOff>28575</xdr:colOff>
      <xdr:row>59</xdr:row>
      <xdr:rowOff>19050</xdr:rowOff>
    </xdr:to>
    <xdr:pic>
      <xdr:nvPicPr>
        <xdr:cNvPr id="2" name="Picture 38">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7275" y="6784976"/>
          <a:ext cx="10255250" cy="3673474"/>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0</xdr:col>
      <xdr:colOff>1057275</xdr:colOff>
      <xdr:row>36</xdr:row>
      <xdr:rowOff>9526</xdr:rowOff>
    </xdr:from>
    <xdr:to>
      <xdr:col>8</xdr:col>
      <xdr:colOff>28575</xdr:colOff>
      <xdr:row>59</xdr:row>
      <xdr:rowOff>19050</xdr:rowOff>
    </xdr:to>
    <xdr:pic>
      <xdr:nvPicPr>
        <xdr:cNvPr id="3" name="Picture 38">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7275" y="6784976"/>
          <a:ext cx="10255250" cy="3673474"/>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990600</xdr:colOff>
      <xdr:row>36</xdr:row>
      <xdr:rowOff>47625</xdr:rowOff>
    </xdr:from>
    <xdr:to>
      <xdr:col>8</xdr:col>
      <xdr:colOff>28575</xdr:colOff>
      <xdr:row>58</xdr:row>
      <xdr:rowOff>111125</xdr:rowOff>
    </xdr:to>
    <xdr:pic>
      <xdr:nvPicPr>
        <xdr:cNvPr id="2" name="Picture 45">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0600" y="6835775"/>
          <a:ext cx="10410825" cy="36576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0</xdr:col>
      <xdr:colOff>990600</xdr:colOff>
      <xdr:row>36</xdr:row>
      <xdr:rowOff>47625</xdr:rowOff>
    </xdr:from>
    <xdr:to>
      <xdr:col>8</xdr:col>
      <xdr:colOff>28575</xdr:colOff>
      <xdr:row>58</xdr:row>
      <xdr:rowOff>111125</xdr:rowOff>
    </xdr:to>
    <xdr:pic>
      <xdr:nvPicPr>
        <xdr:cNvPr id="3" name="Picture 45">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0600" y="6835775"/>
          <a:ext cx="10410825" cy="36576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228600</xdr:colOff>
      <xdr:row>21</xdr:row>
      <xdr:rowOff>95249</xdr:rowOff>
    </xdr:from>
    <xdr:to>
      <xdr:col>5</xdr:col>
      <xdr:colOff>419100</xdr:colOff>
      <xdr:row>25</xdr:row>
      <xdr:rowOff>161924</xdr:rowOff>
    </xdr:to>
    <xdr:sp macro="" textlink="">
      <xdr:nvSpPr>
        <xdr:cNvPr id="6" name="Text Box 14">
          <a:extLst>
            <a:ext uri="{FF2B5EF4-FFF2-40B4-BE49-F238E27FC236}">
              <a16:creationId xmlns:a16="http://schemas.microsoft.com/office/drawing/2014/main" id="{00000000-0008-0000-0400-000006000000}"/>
            </a:ext>
          </a:extLst>
        </xdr:cNvPr>
        <xdr:cNvSpPr txBox="1">
          <a:spLocks noChangeArrowheads="1"/>
        </xdr:cNvSpPr>
      </xdr:nvSpPr>
      <xdr:spPr bwMode="auto">
        <a:xfrm>
          <a:off x="5410200" y="3724274"/>
          <a:ext cx="2600325" cy="7524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1">
            <a:defRPr sz="1000"/>
          </a:pPr>
          <a:r>
            <a:rPr lang="en-US" sz="1000" b="0" i="0" strike="noStrike">
              <a:solidFill>
                <a:srgbClr val="000000"/>
              </a:solidFill>
              <a:latin typeface="Arial"/>
              <a:cs typeface="Arial"/>
            </a:rPr>
            <a:t>To calculate the frequency, vary the membrane mass and/or air gap by pressing the 'up/down' buttons </a:t>
          </a:r>
          <a:r>
            <a:rPr lang="en-US" sz="1000" b="1" i="0" strike="noStrike">
              <a:solidFill>
                <a:srgbClr val="000000"/>
              </a:solidFill>
              <a:latin typeface="Arial"/>
              <a:cs typeface="Arial"/>
            </a:rPr>
            <a:t>or</a:t>
          </a:r>
          <a:r>
            <a:rPr lang="en-US" sz="1000" b="1" i="0" strike="noStrike" baseline="0">
              <a:solidFill>
                <a:srgbClr val="000000"/>
              </a:solidFill>
              <a:latin typeface="Arial"/>
              <a:cs typeface="Arial"/>
            </a:rPr>
            <a:t> </a:t>
          </a:r>
          <a:r>
            <a:rPr lang="en-US" sz="1000" b="0" i="0" strike="noStrike" baseline="0">
              <a:solidFill>
                <a:srgbClr val="000000"/>
              </a:solidFill>
              <a:latin typeface="Arial"/>
              <a:cs typeface="Arial"/>
            </a:rPr>
            <a:t>you</a:t>
          </a:r>
          <a:r>
            <a:rPr lang="en-US" sz="1000" b="0" i="0" strike="noStrike">
              <a:solidFill>
                <a:srgbClr val="000000"/>
              </a:solidFill>
              <a:latin typeface="Arial"/>
              <a:cs typeface="Arial"/>
            </a:rPr>
            <a:t> may </a:t>
          </a:r>
          <a:r>
            <a:rPr lang="en-US" sz="1000" b="0" i="0" u="none" strike="noStrike">
              <a:solidFill>
                <a:srgbClr val="000000"/>
              </a:solidFill>
              <a:latin typeface="Arial"/>
              <a:cs typeface="Arial"/>
            </a:rPr>
            <a:t>type a</a:t>
          </a:r>
          <a:r>
            <a:rPr lang="en-US" sz="1000" b="0" i="0" u="none" strike="noStrike" baseline="0">
              <a:solidFill>
                <a:srgbClr val="000000"/>
              </a:solidFill>
              <a:latin typeface="Arial"/>
              <a:cs typeface="Arial"/>
            </a:rPr>
            <a:t> value</a:t>
          </a:r>
          <a:r>
            <a:rPr lang="en-US" sz="1000" b="0" i="0" strike="noStrike">
              <a:solidFill>
                <a:srgbClr val="000000"/>
              </a:solidFill>
              <a:latin typeface="Arial"/>
              <a:cs typeface="Arial"/>
            </a:rPr>
            <a:t> in cells B24 or C24 (yellow cells).</a:t>
          </a:r>
        </a:p>
        <a:p>
          <a:pPr algn="l" rtl="1">
            <a:defRPr sz="1000"/>
          </a:pPr>
          <a:endParaRPr lang="en-US" sz="1000" b="0" i="0" strike="noStrike">
            <a:solidFill>
              <a:srgbClr val="000000"/>
            </a:solidFill>
            <a:latin typeface="Arial"/>
            <a:cs typeface="Arial"/>
          </a:endParaRPr>
        </a:p>
      </xdr:txBody>
    </xdr:sp>
    <xdr:clientData/>
  </xdr:twoCellAnchor>
  <xdr:twoCellAnchor>
    <xdr:from>
      <xdr:col>3</xdr:col>
      <xdr:colOff>381000</xdr:colOff>
      <xdr:row>5</xdr:row>
      <xdr:rowOff>47624</xdr:rowOff>
    </xdr:from>
    <xdr:to>
      <xdr:col>5</xdr:col>
      <xdr:colOff>657225</xdr:colOff>
      <xdr:row>11</xdr:row>
      <xdr:rowOff>133349</xdr:rowOff>
    </xdr:to>
    <xdr:sp macro="" textlink="">
      <xdr:nvSpPr>
        <xdr:cNvPr id="7" name="Text Box 17">
          <a:extLst>
            <a:ext uri="{FF2B5EF4-FFF2-40B4-BE49-F238E27FC236}">
              <a16:creationId xmlns:a16="http://schemas.microsoft.com/office/drawing/2014/main" id="{00000000-0008-0000-0400-000007000000}"/>
            </a:ext>
          </a:extLst>
        </xdr:cNvPr>
        <xdr:cNvSpPr txBox="1">
          <a:spLocks noChangeArrowheads="1"/>
        </xdr:cNvSpPr>
      </xdr:nvSpPr>
      <xdr:spPr bwMode="auto">
        <a:xfrm>
          <a:off x="5562600" y="1028699"/>
          <a:ext cx="2686050" cy="10763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1">
            <a:defRPr sz="1000"/>
          </a:pPr>
          <a:r>
            <a:rPr lang="en-US" sz="1000" b="1" i="0" u="sng" strike="noStrike">
              <a:solidFill>
                <a:srgbClr val="000000"/>
              </a:solidFill>
              <a:latin typeface="Arial"/>
              <a:cs typeface="Arial"/>
            </a:rPr>
            <a:t>Do not</a:t>
          </a:r>
          <a:r>
            <a:rPr lang="en-US" sz="1000" b="0" i="0" strike="noStrike">
              <a:solidFill>
                <a:srgbClr val="000000"/>
              </a:solidFill>
              <a:latin typeface="Arial"/>
              <a:cs typeface="Arial"/>
            </a:rPr>
            <a:t> trust published figures on density for the membrane material. Measure and weigh the material you use to calculate its density and weight per</a:t>
          </a:r>
          <a:r>
            <a:rPr lang="en-US" sz="1000" b="0" i="0" strike="noStrike" baseline="0">
              <a:solidFill>
                <a:srgbClr val="000000"/>
              </a:solidFill>
              <a:latin typeface="Arial"/>
              <a:cs typeface="Arial"/>
            </a:rPr>
            <a:t> square meter. Enter the density into column H and the material thickness in cell I8 and the chart will calculate the mass per square meters for you</a:t>
          </a:r>
          <a:r>
            <a:rPr lang="en-US" sz="1000" b="0" i="0" strike="noStrike">
              <a:solidFill>
                <a:srgbClr val="000000"/>
              </a:solidFill>
              <a:latin typeface="Arial"/>
              <a:cs typeface="Arial"/>
            </a:rPr>
            <a:t>.</a:t>
          </a:r>
        </a:p>
      </xdr:txBody>
    </xdr:sp>
    <xdr:clientData/>
  </xdr:twoCellAnchor>
  <xdr:twoCellAnchor editAs="oneCell">
    <xdr:from>
      <xdr:col>6</xdr:col>
      <xdr:colOff>1066800</xdr:colOff>
      <xdr:row>3</xdr:row>
      <xdr:rowOff>0</xdr:rowOff>
    </xdr:from>
    <xdr:to>
      <xdr:col>6</xdr:col>
      <xdr:colOff>1257300</xdr:colOff>
      <xdr:row>3</xdr:row>
      <xdr:rowOff>190500</xdr:rowOff>
    </xdr:to>
    <xdr:pic>
      <xdr:nvPicPr>
        <xdr:cNvPr id="2593" name="Picture 8" descr="ylsmoke">
          <a:extLst>
            <a:ext uri="{FF2B5EF4-FFF2-40B4-BE49-F238E27FC236}">
              <a16:creationId xmlns:a16="http://schemas.microsoft.com/office/drawing/2014/main" id="{00000000-0008-0000-0400-0000210A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9886950" y="561975"/>
          <a:ext cx="190500" cy="190500"/>
        </a:xfrm>
        <a:prstGeom prst="rect">
          <a:avLst/>
        </a:prstGeom>
        <a:noFill/>
        <a:ln w="9525">
          <a:noFill/>
          <a:miter lim="800000"/>
          <a:headEnd/>
          <a:tailEnd/>
        </a:ln>
      </xdr:spPr>
    </xdr:pic>
    <xdr:clientData/>
  </xdr:twoCellAnchor>
  <xdr:twoCellAnchor>
    <xdr:from>
      <xdr:col>0</xdr:col>
      <xdr:colOff>0</xdr:colOff>
      <xdr:row>113</xdr:row>
      <xdr:rowOff>0</xdr:rowOff>
    </xdr:from>
    <xdr:to>
      <xdr:col>0</xdr:col>
      <xdr:colOff>1466850</xdr:colOff>
      <xdr:row>114</xdr:row>
      <xdr:rowOff>38100</xdr:rowOff>
    </xdr:to>
    <xdr:pic>
      <xdr:nvPicPr>
        <xdr:cNvPr id="2595" name="Picture 178">
          <a:extLst>
            <a:ext uri="{FF2B5EF4-FFF2-40B4-BE49-F238E27FC236}">
              <a16:creationId xmlns:a16="http://schemas.microsoft.com/office/drawing/2014/main" id="{00000000-0008-0000-0400-0000230A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blip>
        <a:srcRect/>
        <a:stretch>
          <a:fillRect/>
        </a:stretch>
      </xdr:blipFill>
      <xdr:spPr bwMode="auto">
        <a:xfrm>
          <a:off x="0" y="8572500"/>
          <a:ext cx="1466850" cy="200025"/>
        </a:xfrm>
        <a:prstGeom prst="rect">
          <a:avLst/>
        </a:prstGeom>
        <a:noFill/>
        <a:ln w="9525">
          <a:noFill/>
          <a:miter lim="800000"/>
          <a:headEnd/>
          <a:tailEnd/>
        </a:ln>
      </xdr:spPr>
    </xdr:pic>
    <xdr:clientData/>
  </xdr:twoCellAnchor>
  <xdr:twoCellAnchor>
    <xdr:from>
      <xdr:col>0</xdr:col>
      <xdr:colOff>0</xdr:colOff>
      <xdr:row>114</xdr:row>
      <xdr:rowOff>0</xdr:rowOff>
    </xdr:from>
    <xdr:to>
      <xdr:col>0</xdr:col>
      <xdr:colOff>1466850</xdr:colOff>
      <xdr:row>115</xdr:row>
      <xdr:rowOff>38100</xdr:rowOff>
    </xdr:to>
    <xdr:pic>
      <xdr:nvPicPr>
        <xdr:cNvPr id="2596" name="Picture 180">
          <a:extLst>
            <a:ext uri="{FF2B5EF4-FFF2-40B4-BE49-F238E27FC236}">
              <a16:creationId xmlns:a16="http://schemas.microsoft.com/office/drawing/2014/main" id="{00000000-0008-0000-0400-0000240A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blip>
        <a:srcRect/>
        <a:stretch>
          <a:fillRect/>
        </a:stretch>
      </xdr:blipFill>
      <xdr:spPr bwMode="auto">
        <a:xfrm>
          <a:off x="0" y="8734425"/>
          <a:ext cx="1466850" cy="200025"/>
        </a:xfrm>
        <a:prstGeom prst="rect">
          <a:avLst/>
        </a:prstGeom>
        <a:noFill/>
        <a:ln w="9525">
          <a:noFill/>
          <a:miter lim="800000"/>
          <a:headEnd/>
          <a:tailEnd/>
        </a:ln>
      </xdr:spPr>
    </xdr:pic>
    <xdr:clientData/>
  </xdr:twoCellAnchor>
  <xdr:oneCellAnchor>
    <xdr:from>
      <xdr:col>3</xdr:col>
      <xdr:colOff>600075</xdr:colOff>
      <xdr:row>159</xdr:row>
      <xdr:rowOff>0</xdr:rowOff>
    </xdr:from>
    <xdr:ext cx="3324225" cy="609013"/>
    <xdr:sp macro="" textlink="">
      <xdr:nvSpPr>
        <xdr:cNvPr id="11" name="TextBox 10">
          <a:extLst>
            <a:ext uri="{FF2B5EF4-FFF2-40B4-BE49-F238E27FC236}">
              <a16:creationId xmlns:a16="http://schemas.microsoft.com/office/drawing/2014/main" id="{00000000-0008-0000-0400-00000B000000}"/>
            </a:ext>
          </a:extLst>
        </xdr:cNvPr>
        <xdr:cNvSpPr txBox="1"/>
      </xdr:nvSpPr>
      <xdr:spPr>
        <a:xfrm>
          <a:off x="5781675" y="27927300"/>
          <a:ext cx="3324225" cy="609013"/>
        </a:xfrm>
        <a:prstGeom prst="rect">
          <a:avLst/>
        </a:prstGeom>
        <a:solidFill>
          <a:schemeClr val="tx2">
            <a:lumMod val="40000"/>
            <a:lumOff val="60000"/>
          </a:schemeClr>
        </a:solid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100">
              <a:solidFill>
                <a:srgbClr val="FFFF00"/>
              </a:solidFill>
            </a:rPr>
            <a:t>Input</a:t>
          </a:r>
          <a:r>
            <a:rPr lang="en-US" sz="1100" baseline="0">
              <a:solidFill>
                <a:srgbClr val="FFFF00"/>
              </a:solidFill>
            </a:rPr>
            <a:t> the surface density of the wall in the yellow box and the  other levels  and frequencies in the yellow boxes of the Isolation Effeciency Equation.</a:t>
          </a:r>
          <a:endParaRPr lang="en-US" sz="1100">
            <a:solidFill>
              <a:srgbClr val="FFFF00"/>
            </a:solidFill>
          </a:endParaRPr>
        </a:p>
      </xdr:txBody>
    </xdr:sp>
    <xdr:clientData/>
  </xdr:oneCellAnchor>
  <mc:AlternateContent xmlns:mc="http://schemas.openxmlformats.org/markup-compatibility/2006">
    <mc:Choice xmlns:a14="http://schemas.microsoft.com/office/drawing/2010/main" Requires="a14">
      <xdr:twoCellAnchor>
        <xdr:from>
          <xdr:col>1</xdr:col>
          <xdr:colOff>25400</xdr:colOff>
          <xdr:row>23</xdr:row>
          <xdr:rowOff>6350</xdr:rowOff>
        </xdr:from>
        <xdr:to>
          <xdr:col>1</xdr:col>
          <xdr:colOff>215900</xdr:colOff>
          <xdr:row>24</xdr:row>
          <xdr:rowOff>152400</xdr:rowOff>
        </xdr:to>
        <xdr:sp macro="" textlink="">
          <xdr:nvSpPr>
            <xdr:cNvPr id="2049" name="Spinner 1" hidden="1">
              <a:extLst>
                <a:ext uri="{63B3BB69-23CF-44E3-9099-C40C66FF867C}">
                  <a14:compatExt spid="_x0000_s2049"/>
                </a:ext>
                <a:ext uri="{FF2B5EF4-FFF2-40B4-BE49-F238E27FC236}">
                  <a16:creationId xmlns:a16="http://schemas.microsoft.com/office/drawing/2014/main" id="{00000000-0008-0000-0400-000001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25400</xdr:colOff>
          <xdr:row>23</xdr:row>
          <xdr:rowOff>25400</xdr:rowOff>
        </xdr:from>
        <xdr:to>
          <xdr:col>2</xdr:col>
          <xdr:colOff>228600</xdr:colOff>
          <xdr:row>25</xdr:row>
          <xdr:rowOff>0</xdr:rowOff>
        </xdr:to>
        <xdr:sp macro="" textlink="">
          <xdr:nvSpPr>
            <xdr:cNvPr id="2050" name="Spinner 2" hidden="1">
              <a:extLst>
                <a:ext uri="{63B3BB69-23CF-44E3-9099-C40C66FF867C}">
                  <a14:compatExt spid="_x0000_s2050"/>
                </a:ext>
                <a:ext uri="{FF2B5EF4-FFF2-40B4-BE49-F238E27FC236}">
                  <a16:creationId xmlns:a16="http://schemas.microsoft.com/office/drawing/2014/main" id="{00000000-0008-0000-0400-000002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25400</xdr:colOff>
          <xdr:row>23</xdr:row>
          <xdr:rowOff>25400</xdr:rowOff>
        </xdr:from>
        <xdr:to>
          <xdr:col>2</xdr:col>
          <xdr:colOff>228600</xdr:colOff>
          <xdr:row>25</xdr:row>
          <xdr:rowOff>0</xdr:rowOff>
        </xdr:to>
        <xdr:sp macro="" textlink="">
          <xdr:nvSpPr>
            <xdr:cNvPr id="2055" name="Spinner 7" hidden="1">
              <a:extLst>
                <a:ext uri="{63B3BB69-23CF-44E3-9099-C40C66FF867C}">
                  <a14:compatExt spid="_x0000_s2055"/>
                </a:ext>
                <a:ext uri="{FF2B5EF4-FFF2-40B4-BE49-F238E27FC236}">
                  <a16:creationId xmlns:a16="http://schemas.microsoft.com/office/drawing/2014/main" id="{00000000-0008-0000-0400-0000070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3</xdr:col>
      <xdr:colOff>200025</xdr:colOff>
      <xdr:row>178</xdr:row>
      <xdr:rowOff>123825</xdr:rowOff>
    </xdr:from>
    <xdr:to>
      <xdr:col>6</xdr:col>
      <xdr:colOff>190500</xdr:colOff>
      <xdr:row>182</xdr:row>
      <xdr:rowOff>0</xdr:rowOff>
    </xdr:to>
    <xdr:sp macro="" textlink="">
      <xdr:nvSpPr>
        <xdr:cNvPr id="12" name="TextBox 11">
          <a:extLst>
            <a:ext uri="{FF2B5EF4-FFF2-40B4-BE49-F238E27FC236}">
              <a16:creationId xmlns:a16="http://schemas.microsoft.com/office/drawing/2014/main" id="{00000000-0008-0000-0400-00000C000000}"/>
            </a:ext>
          </a:extLst>
        </xdr:cNvPr>
        <xdr:cNvSpPr txBox="1"/>
      </xdr:nvSpPr>
      <xdr:spPr>
        <a:xfrm>
          <a:off x="2590800" y="1200150"/>
          <a:ext cx="2009775" cy="866775"/>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a:solidFill>
                <a:srgbClr val="FF0000"/>
              </a:solidFill>
            </a:rPr>
            <a:t>Enter the thickness of the glass in the the yellow cells to calculate</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171450</xdr:colOff>
      <xdr:row>0</xdr:row>
      <xdr:rowOff>85725</xdr:rowOff>
    </xdr:from>
    <xdr:to>
      <xdr:col>8</xdr:col>
      <xdr:colOff>361950</xdr:colOff>
      <xdr:row>0</xdr:row>
      <xdr:rowOff>276225</xdr:rowOff>
    </xdr:to>
    <xdr:pic>
      <xdr:nvPicPr>
        <xdr:cNvPr id="3134" name="Picture 8" descr="ylsmoke">
          <a:extLst>
            <a:ext uri="{FF2B5EF4-FFF2-40B4-BE49-F238E27FC236}">
              <a16:creationId xmlns:a16="http://schemas.microsoft.com/office/drawing/2014/main" id="{00000000-0008-0000-0600-00003E0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9410700" y="85725"/>
          <a:ext cx="190500" cy="190500"/>
        </a:xfrm>
        <a:prstGeom prst="rect">
          <a:avLst/>
        </a:prstGeom>
        <a:noFill/>
        <a:ln w="9525">
          <a:noFill/>
          <a:miter lim="800000"/>
          <a:headEnd/>
          <a:tailEnd/>
        </a:ln>
      </xdr:spPr>
    </xdr:pic>
    <xdr:clientData/>
  </xdr:twoCellAnchor>
  <xdr:twoCellAnchor editAs="oneCell">
    <xdr:from>
      <xdr:col>0</xdr:col>
      <xdr:colOff>172427</xdr:colOff>
      <xdr:row>69</xdr:row>
      <xdr:rowOff>144340</xdr:rowOff>
    </xdr:from>
    <xdr:to>
      <xdr:col>9</xdr:col>
      <xdr:colOff>390769</xdr:colOff>
      <xdr:row>220</xdr:row>
      <xdr:rowOff>77665</xdr:rowOff>
    </xdr:to>
    <xdr:pic>
      <xdr:nvPicPr>
        <xdr:cNvPr id="4" name="Picture 3" descr="Keyboard Chart.jpg">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172427" y="13132532"/>
          <a:ext cx="11462727" cy="24273363"/>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85725</xdr:colOff>
      <xdr:row>12</xdr:row>
      <xdr:rowOff>85725</xdr:rowOff>
    </xdr:from>
    <xdr:ext cx="1647825" cy="436786"/>
    <xdr:sp macro="" textlink="">
      <xdr:nvSpPr>
        <xdr:cNvPr id="3" name="TextBox 2">
          <a:extLst>
            <a:ext uri="{FF2B5EF4-FFF2-40B4-BE49-F238E27FC236}">
              <a16:creationId xmlns:a16="http://schemas.microsoft.com/office/drawing/2014/main" id="{00000000-0008-0000-0800-000003000000}"/>
            </a:ext>
          </a:extLst>
        </xdr:cNvPr>
        <xdr:cNvSpPr txBox="1"/>
      </xdr:nvSpPr>
      <xdr:spPr>
        <a:xfrm>
          <a:off x="85725" y="11020425"/>
          <a:ext cx="1647825" cy="43678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100"/>
            <a:t>Draw</a:t>
          </a:r>
          <a:r>
            <a:rPr lang="en-US" sz="1100" baseline="0"/>
            <a:t> and Ellipse using 2 nails and a string.</a:t>
          </a:r>
          <a:endParaRPr lang="en-US" sz="1100"/>
        </a:p>
      </xdr:txBody>
    </xdr:sp>
    <xdr:clientData/>
  </xdr:oneCellAnchor>
  <xdr:twoCellAnchor editAs="oneCell">
    <xdr:from>
      <xdr:col>2</xdr:col>
      <xdr:colOff>476250</xdr:colOff>
      <xdr:row>4</xdr:row>
      <xdr:rowOff>85725</xdr:rowOff>
    </xdr:from>
    <xdr:to>
      <xdr:col>6</xdr:col>
      <xdr:colOff>200026</xdr:colOff>
      <xdr:row>11</xdr:row>
      <xdr:rowOff>551985</xdr:rowOff>
    </xdr:to>
    <xdr:pic>
      <xdr:nvPicPr>
        <xdr:cNvPr id="4" name="Picture 1" descr="http://www.mathopenref.com/images/circles/ellipsejn.gif">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143125" y="9010650"/>
          <a:ext cx="2867026" cy="1688360"/>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xdr:from>
      <xdr:col>3</xdr:col>
      <xdr:colOff>495300</xdr:colOff>
      <xdr:row>0</xdr:row>
      <xdr:rowOff>0</xdr:rowOff>
    </xdr:from>
    <xdr:to>
      <xdr:col>9</xdr:col>
      <xdr:colOff>409575</xdr:colOff>
      <xdr:row>16</xdr:row>
      <xdr:rowOff>142875</xdr:rowOff>
    </xdr:to>
    <xdr:graphicFrame macro="">
      <xdr:nvGraphicFramePr>
        <xdr:cNvPr id="2" name="Chart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495300</xdr:colOff>
      <xdr:row>0</xdr:row>
      <xdr:rowOff>0</xdr:rowOff>
    </xdr:from>
    <xdr:to>
      <xdr:col>9</xdr:col>
      <xdr:colOff>409575</xdr:colOff>
      <xdr:row>16</xdr:row>
      <xdr:rowOff>142875</xdr:rowOff>
    </xdr:to>
    <xdr:graphicFrame macro="">
      <xdr:nvGraphicFramePr>
        <xdr:cNvPr id="3" name="Chart 1">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jhbrandt.net/"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comments" Target="../comments4.xml"/><Relationship Id="rId2" Type="http://schemas.openxmlformats.org/officeDocument/2006/relationships/drawing" Target="../drawings/drawing4.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2"/>
  <sheetViews>
    <sheetView topLeftCell="A55" zoomScale="115" zoomScaleNormal="115" workbookViewId="0">
      <selection activeCell="L105" sqref="L105"/>
    </sheetView>
  </sheetViews>
  <sheetFormatPr defaultColWidth="9.08984375" defaultRowHeight="12.5" x14ac:dyDescent="0.25"/>
  <cols>
    <col min="1" max="1" width="41.08984375" style="431" customWidth="1"/>
    <col min="2" max="2" width="16.90625" style="431" customWidth="1"/>
    <col min="3" max="3" width="14" style="431" customWidth="1"/>
    <col min="4" max="4" width="15.6328125" style="431" customWidth="1"/>
    <col min="5" max="5" width="36.6328125" style="431" customWidth="1"/>
    <col min="6" max="6" width="12.36328125" style="431" customWidth="1"/>
    <col min="7" max="7" width="13.08984375" style="431" customWidth="1"/>
    <col min="8" max="8" width="15.90625" style="431" customWidth="1"/>
    <col min="9" max="9" width="9.08984375" style="431"/>
    <col min="10" max="10" width="34.08984375" style="431" bestFit="1" customWidth="1"/>
    <col min="11" max="11" width="12.90625" style="431" customWidth="1"/>
    <col min="12" max="12" width="13.08984375" style="431" customWidth="1"/>
    <col min="13" max="13" width="15.90625" style="431" customWidth="1"/>
    <col min="14" max="14" width="9.08984375" style="431"/>
    <col min="15" max="15" width="34.08984375" style="431" bestFit="1" customWidth="1"/>
    <col min="16" max="16" width="13.453125" style="431" customWidth="1"/>
    <col min="17" max="17" width="13.08984375" style="431" customWidth="1"/>
    <col min="18" max="18" width="15.90625" style="431" customWidth="1"/>
    <col min="19" max="16384" width="9.08984375" style="431"/>
  </cols>
  <sheetData>
    <row r="1" spans="1:10" ht="24.75" customHeight="1" thickBot="1" x14ac:dyDescent="0.3">
      <c r="A1" s="430" t="s">
        <v>32</v>
      </c>
      <c r="D1" s="430" t="s">
        <v>33</v>
      </c>
      <c r="F1" s="432" t="s">
        <v>34</v>
      </c>
      <c r="G1" s="433"/>
    </row>
    <row r="2" spans="1:10" ht="26.25" customHeight="1" thickTop="1" x14ac:dyDescent="0.25">
      <c r="A2" s="434" t="s">
        <v>31</v>
      </c>
      <c r="B2" s="435"/>
      <c r="C2" s="435"/>
      <c r="D2" s="435"/>
      <c r="E2" s="435"/>
      <c r="F2" s="435"/>
      <c r="G2" s="435"/>
      <c r="I2" s="864" t="s">
        <v>752</v>
      </c>
      <c r="J2" s="865"/>
    </row>
    <row r="3" spans="1:10" x14ac:dyDescent="0.25">
      <c r="I3" s="866"/>
      <c r="J3" s="867"/>
    </row>
    <row r="4" spans="1:10" x14ac:dyDescent="0.25">
      <c r="I4" s="866"/>
      <c r="J4" s="867"/>
    </row>
    <row r="5" spans="1:10" x14ac:dyDescent="0.25">
      <c r="I5" s="866"/>
      <c r="J5" s="867"/>
    </row>
    <row r="6" spans="1:10" ht="13" thickBot="1" x14ac:dyDescent="0.3">
      <c r="I6" s="868"/>
      <c r="J6" s="869"/>
    </row>
    <row r="7" spans="1:10" ht="34.5" thickTop="1" x14ac:dyDescent="0.25">
      <c r="A7" s="436" t="s">
        <v>23</v>
      </c>
      <c r="B7" s="437"/>
      <c r="C7" s="437"/>
      <c r="D7" s="437"/>
      <c r="E7" s="438"/>
      <c r="F7" s="439"/>
      <c r="G7" s="439"/>
      <c r="H7" s="439"/>
      <c r="I7" s="440"/>
    </row>
    <row r="8" spans="1:10" ht="13" x14ac:dyDescent="0.25">
      <c r="A8" s="441" t="s">
        <v>787</v>
      </c>
      <c r="B8" s="442">
        <f>((B9*B11)/(B10+B9))</f>
        <v>1468.3197947840958</v>
      </c>
      <c r="C8" s="870" t="s">
        <v>625</v>
      </c>
      <c r="D8" s="871"/>
      <c r="I8" s="440"/>
    </row>
    <row r="9" spans="1:10" ht="12.75" customHeight="1" x14ac:dyDescent="0.25">
      <c r="A9" s="443" t="s">
        <v>438</v>
      </c>
      <c r="B9" s="444">
        <v>1200</v>
      </c>
      <c r="C9" s="870" t="s">
        <v>625</v>
      </c>
      <c r="D9" s="871"/>
      <c r="I9" s="440"/>
    </row>
    <row r="10" spans="1:10" x14ac:dyDescent="0.25">
      <c r="A10" s="443" t="s">
        <v>440</v>
      </c>
      <c r="B10" s="444">
        <v>1139</v>
      </c>
      <c r="C10" s="870" t="s">
        <v>625</v>
      </c>
      <c r="D10" s="871"/>
      <c r="I10" s="440"/>
    </row>
    <row r="11" spans="1:10" x14ac:dyDescent="0.25">
      <c r="A11" s="443" t="s">
        <v>439</v>
      </c>
      <c r="B11" s="444">
        <v>2862</v>
      </c>
      <c r="C11" s="870" t="s">
        <v>625</v>
      </c>
      <c r="D11" s="871"/>
      <c r="I11" s="440"/>
    </row>
    <row r="12" spans="1:10" ht="12" customHeight="1" x14ac:dyDescent="0.25">
      <c r="A12" s="445"/>
      <c r="I12" s="440"/>
    </row>
    <row r="13" spans="1:10" ht="20.25" customHeight="1" x14ac:dyDescent="0.25">
      <c r="A13" s="872" t="s">
        <v>624</v>
      </c>
      <c r="B13" s="873"/>
      <c r="C13" s="873"/>
      <c r="I13" s="440"/>
    </row>
    <row r="14" spans="1:10" ht="20.25" customHeight="1" x14ac:dyDescent="0.25">
      <c r="A14" s="874"/>
      <c r="B14" s="873"/>
      <c r="C14" s="873"/>
      <c r="I14" s="440"/>
    </row>
    <row r="15" spans="1:10" ht="20.25" customHeight="1" x14ac:dyDescent="0.25">
      <c r="A15" s="874"/>
      <c r="B15" s="873"/>
      <c r="C15" s="873"/>
      <c r="I15" s="440"/>
    </row>
    <row r="16" spans="1:10" ht="20.25" customHeight="1" x14ac:dyDescent="0.25">
      <c r="A16" s="874"/>
      <c r="B16" s="873"/>
      <c r="C16" s="873"/>
      <c r="E16" s="432"/>
      <c r="I16" s="440"/>
    </row>
    <row r="17" spans="1:9" ht="20.25" customHeight="1" x14ac:dyDescent="0.25">
      <c r="A17" s="874"/>
      <c r="B17" s="873"/>
      <c r="C17" s="873"/>
      <c r="E17" s="432"/>
      <c r="I17" s="440"/>
    </row>
    <row r="18" spans="1:9" ht="20.25" customHeight="1" x14ac:dyDescent="0.25">
      <c r="A18" s="874"/>
      <c r="B18" s="873"/>
      <c r="C18" s="873"/>
      <c r="E18" s="432"/>
      <c r="I18" s="440"/>
    </row>
    <row r="19" spans="1:9" ht="13" x14ac:dyDescent="0.25">
      <c r="A19" s="446"/>
      <c r="E19" s="432"/>
      <c r="I19" s="440"/>
    </row>
    <row r="20" spans="1:9" ht="13" x14ac:dyDescent="0.25">
      <c r="A20" s="446"/>
      <c r="E20" s="432"/>
      <c r="I20" s="440"/>
    </row>
    <row r="21" spans="1:9" ht="13" x14ac:dyDescent="0.25">
      <c r="A21" s="446"/>
      <c r="E21" s="432"/>
      <c r="I21" s="440"/>
    </row>
    <row r="22" spans="1:9" ht="13" x14ac:dyDescent="0.25">
      <c r="A22" s="446"/>
      <c r="E22" s="432"/>
      <c r="I22" s="440"/>
    </row>
    <row r="23" spans="1:9" ht="13" x14ac:dyDescent="0.25">
      <c r="A23" s="446"/>
      <c r="E23" s="432"/>
      <c r="I23" s="440"/>
    </row>
    <row r="24" spans="1:9" ht="13" x14ac:dyDescent="0.25">
      <c r="A24" s="446"/>
      <c r="E24" s="432"/>
      <c r="I24" s="440"/>
    </row>
    <row r="25" spans="1:9" ht="13" x14ac:dyDescent="0.25">
      <c r="A25" s="446"/>
      <c r="E25" s="432"/>
      <c r="I25" s="440"/>
    </row>
    <row r="26" spans="1:9" ht="13" x14ac:dyDescent="0.25">
      <c r="A26" s="446"/>
      <c r="E26" s="432"/>
      <c r="I26" s="440"/>
    </row>
    <row r="27" spans="1:9" ht="13" x14ac:dyDescent="0.25">
      <c r="A27" s="446"/>
      <c r="E27" s="432"/>
      <c r="I27" s="440"/>
    </row>
    <row r="28" spans="1:9" ht="13" x14ac:dyDescent="0.25">
      <c r="A28" s="446"/>
      <c r="E28" s="432"/>
      <c r="I28" s="440"/>
    </row>
    <row r="29" spans="1:9" ht="13" x14ac:dyDescent="0.25">
      <c r="A29" s="446"/>
      <c r="E29" s="432"/>
      <c r="I29" s="440"/>
    </row>
    <row r="30" spans="1:9" ht="13" x14ac:dyDescent="0.25">
      <c r="A30" s="446"/>
      <c r="E30" s="432"/>
      <c r="I30" s="440"/>
    </row>
    <row r="31" spans="1:9" ht="13" x14ac:dyDescent="0.25">
      <c r="A31" s="446"/>
      <c r="E31" s="432"/>
      <c r="I31" s="440"/>
    </row>
    <row r="32" spans="1:9" ht="13" x14ac:dyDescent="0.25">
      <c r="A32" s="446"/>
      <c r="E32" s="432"/>
      <c r="I32" s="440"/>
    </row>
    <row r="33" spans="1:9" ht="13" x14ac:dyDescent="0.25">
      <c r="A33" s="446"/>
      <c r="E33" s="432"/>
      <c r="I33" s="440"/>
    </row>
    <row r="34" spans="1:9" ht="13" x14ac:dyDescent="0.25">
      <c r="A34" s="446"/>
      <c r="E34" s="432"/>
      <c r="I34" s="440"/>
    </row>
    <row r="35" spans="1:9" ht="13" x14ac:dyDescent="0.25">
      <c r="A35" s="446"/>
      <c r="E35" s="432"/>
      <c r="I35" s="440"/>
    </row>
    <row r="36" spans="1:9" ht="13" x14ac:dyDescent="0.25">
      <c r="A36" s="446"/>
      <c r="E36" s="432"/>
      <c r="I36" s="440"/>
    </row>
    <row r="37" spans="1:9" ht="13" x14ac:dyDescent="0.25">
      <c r="A37" s="446"/>
      <c r="E37" s="432"/>
      <c r="I37" s="440"/>
    </row>
    <row r="38" spans="1:9" ht="13" x14ac:dyDescent="0.25">
      <c r="A38" s="446"/>
      <c r="E38" s="432"/>
      <c r="I38" s="440"/>
    </row>
    <row r="39" spans="1:9" ht="13" x14ac:dyDescent="0.25">
      <c r="A39" s="446"/>
      <c r="E39" s="432"/>
      <c r="I39" s="440"/>
    </row>
    <row r="40" spans="1:9" ht="13" x14ac:dyDescent="0.25">
      <c r="A40" s="446"/>
      <c r="E40" s="432"/>
      <c r="I40" s="440"/>
    </row>
    <row r="41" spans="1:9" ht="13" x14ac:dyDescent="0.25">
      <c r="A41" s="446"/>
      <c r="E41" s="432"/>
      <c r="I41" s="440"/>
    </row>
    <row r="42" spans="1:9" ht="13" x14ac:dyDescent="0.25">
      <c r="A42" s="446"/>
      <c r="E42" s="432"/>
      <c r="I42" s="440"/>
    </row>
    <row r="43" spans="1:9" ht="13" x14ac:dyDescent="0.25">
      <c r="A43" s="446"/>
      <c r="E43" s="432"/>
      <c r="I43" s="440"/>
    </row>
    <row r="44" spans="1:9" ht="13" x14ac:dyDescent="0.25">
      <c r="A44" s="446"/>
      <c r="E44" s="432"/>
      <c r="I44" s="440"/>
    </row>
    <row r="45" spans="1:9" ht="13" x14ac:dyDescent="0.25">
      <c r="A45" s="446"/>
      <c r="E45" s="432"/>
      <c r="I45" s="440"/>
    </row>
    <row r="46" spans="1:9" ht="13" x14ac:dyDescent="0.25">
      <c r="A46" s="446"/>
      <c r="E46" s="432"/>
      <c r="I46" s="440"/>
    </row>
    <row r="47" spans="1:9" ht="13" x14ac:dyDescent="0.25">
      <c r="A47" s="446"/>
      <c r="E47" s="432"/>
      <c r="I47" s="440"/>
    </row>
    <row r="48" spans="1:9" ht="13" x14ac:dyDescent="0.25">
      <c r="A48" s="446"/>
      <c r="E48" s="432"/>
      <c r="I48" s="440"/>
    </row>
    <row r="49" spans="1:11" ht="13" x14ac:dyDescent="0.25">
      <c r="A49" s="446"/>
      <c r="E49" s="432"/>
      <c r="I49" s="440"/>
    </row>
    <row r="50" spans="1:11" ht="13" x14ac:dyDescent="0.25">
      <c r="A50" s="446"/>
      <c r="E50" s="432"/>
      <c r="I50" s="440"/>
    </row>
    <row r="51" spans="1:11" ht="13" x14ac:dyDescent="0.25">
      <c r="A51" s="446"/>
      <c r="E51" s="432"/>
      <c r="I51" s="440"/>
    </row>
    <row r="52" spans="1:11" ht="13" x14ac:dyDescent="0.25">
      <c r="A52" s="446"/>
      <c r="E52" s="432"/>
      <c r="I52" s="440"/>
    </row>
    <row r="53" spans="1:11" ht="13" x14ac:dyDescent="0.25">
      <c r="A53" s="446"/>
      <c r="E53" s="432"/>
      <c r="I53" s="440"/>
    </row>
    <row r="54" spans="1:11" ht="13" x14ac:dyDescent="0.25">
      <c r="A54" s="446"/>
      <c r="E54" s="432"/>
      <c r="I54" s="440"/>
    </row>
    <row r="55" spans="1:11" ht="13" x14ac:dyDescent="0.25">
      <c r="A55" s="446"/>
      <c r="E55" s="432"/>
      <c r="I55" s="440"/>
    </row>
    <row r="56" spans="1:11" ht="13" x14ac:dyDescent="0.25">
      <c r="A56" s="446"/>
      <c r="E56" s="432"/>
      <c r="I56" s="440"/>
    </row>
    <row r="57" spans="1:11" x14ac:dyDescent="0.25">
      <c r="A57" s="445"/>
      <c r="I57" s="440"/>
    </row>
    <row r="58" spans="1:11" x14ac:dyDescent="0.25">
      <c r="A58" s="445"/>
      <c r="I58" s="440"/>
    </row>
    <row r="59" spans="1:11" ht="13" thickBot="1" x14ac:dyDescent="0.3">
      <c r="A59" s="447"/>
      <c r="B59" s="448"/>
      <c r="C59" s="448"/>
      <c r="D59" s="448"/>
      <c r="E59" s="448"/>
      <c r="F59" s="448"/>
      <c r="G59" s="448"/>
      <c r="H59" s="448"/>
      <c r="I59" s="449"/>
    </row>
    <row r="60" spans="1:11" ht="13.5" customHeight="1" thickBot="1" x14ac:dyDescent="0.3"/>
    <row r="61" spans="1:11" ht="13.5" customHeight="1" x14ac:dyDescent="0.25">
      <c r="A61" s="875" t="s">
        <v>790</v>
      </c>
      <c r="B61" s="450" t="s">
        <v>791</v>
      </c>
      <c r="C61" s="877" t="s">
        <v>24</v>
      </c>
      <c r="D61" s="451"/>
      <c r="E61" s="450" t="s">
        <v>791</v>
      </c>
      <c r="F61" s="862" t="s">
        <v>623</v>
      </c>
      <c r="G61" s="437"/>
      <c r="H61" s="437"/>
      <c r="I61" s="437"/>
      <c r="J61" s="452"/>
    </row>
    <row r="62" spans="1:11" ht="31.5" customHeight="1" x14ac:dyDescent="0.25">
      <c r="A62" s="876"/>
      <c r="B62" s="453">
        <v>531</v>
      </c>
      <c r="C62" s="878"/>
      <c r="D62" s="454" t="s">
        <v>49</v>
      </c>
      <c r="E62" s="455">
        <v>269</v>
      </c>
      <c r="F62" s="863"/>
      <c r="G62" s="456"/>
      <c r="H62" s="456"/>
      <c r="I62" s="456"/>
      <c r="J62" s="457" t="s">
        <v>49</v>
      </c>
    </row>
    <row r="63" spans="1:11" ht="13" thickBot="1" x14ac:dyDescent="0.3">
      <c r="A63" s="884" t="s">
        <v>47</v>
      </c>
      <c r="B63" s="885"/>
      <c r="C63" s="885"/>
      <c r="D63" s="458">
        <f>B62*(3/8)</f>
        <v>199.125</v>
      </c>
      <c r="E63" s="885" t="s">
        <v>47</v>
      </c>
      <c r="F63" s="885"/>
      <c r="G63" s="885"/>
      <c r="H63" s="885"/>
      <c r="I63" s="885"/>
      <c r="J63" s="459">
        <f>E62*(3/8)</f>
        <v>100.875</v>
      </c>
      <c r="K63" s="460"/>
    </row>
    <row r="64" spans="1:11" x14ac:dyDescent="0.25">
      <c r="A64" s="461"/>
      <c r="B64" s="461"/>
      <c r="C64" s="461"/>
      <c r="D64" s="462"/>
      <c r="E64" s="461"/>
      <c r="F64" s="461"/>
      <c r="G64" s="461"/>
      <c r="H64" s="461"/>
      <c r="I64" s="461"/>
      <c r="J64" s="463"/>
      <c r="K64" s="460"/>
    </row>
    <row r="65" spans="1:13" ht="30" x14ac:dyDescent="0.25">
      <c r="A65" s="883" t="s">
        <v>777</v>
      </c>
      <c r="B65" s="883"/>
      <c r="C65" s="883"/>
      <c r="D65" s="883"/>
    </row>
    <row r="66" spans="1:13" x14ac:dyDescent="0.25">
      <c r="A66" s="461"/>
      <c r="B66" s="461"/>
      <c r="C66" s="461"/>
      <c r="D66" s="462"/>
    </row>
    <row r="67" spans="1:13" x14ac:dyDescent="0.25">
      <c r="A67" s="461"/>
      <c r="B67" s="461"/>
      <c r="C67" s="461"/>
      <c r="D67" s="462"/>
    </row>
    <row r="68" spans="1:13" x14ac:dyDescent="0.25">
      <c r="A68" s="461"/>
      <c r="B68" s="461"/>
      <c r="C68" s="461"/>
      <c r="D68" s="462"/>
    </row>
    <row r="69" spans="1:13" x14ac:dyDescent="0.25">
      <c r="A69" s="461"/>
      <c r="B69" s="461"/>
      <c r="C69" s="461"/>
      <c r="D69" s="462"/>
      <c r="I69" s="461"/>
      <c r="J69" s="463"/>
      <c r="K69" s="460"/>
      <c r="M69" s="466"/>
    </row>
    <row r="70" spans="1:13" x14ac:dyDescent="0.25">
      <c r="A70" s="461"/>
      <c r="B70" s="461"/>
      <c r="C70" s="461"/>
      <c r="D70" s="462"/>
      <c r="I70" s="461"/>
      <c r="J70" s="463"/>
      <c r="K70" s="460"/>
      <c r="M70" s="466"/>
    </row>
    <row r="71" spans="1:13" x14ac:dyDescent="0.25">
      <c r="A71" s="461"/>
      <c r="B71" s="461"/>
      <c r="C71" s="461"/>
      <c r="D71" s="462"/>
      <c r="G71" s="461"/>
      <c r="H71" s="461"/>
      <c r="I71" s="461"/>
      <c r="J71" s="463"/>
      <c r="K71" s="460"/>
    </row>
    <row r="72" spans="1:13" x14ac:dyDescent="0.25">
      <c r="A72" s="461"/>
      <c r="B72" s="461"/>
      <c r="C72" s="461"/>
      <c r="D72" s="462"/>
      <c r="G72" s="461"/>
      <c r="H72" s="461"/>
      <c r="I72" s="461"/>
      <c r="J72" s="463"/>
      <c r="K72" s="460"/>
    </row>
    <row r="73" spans="1:13" x14ac:dyDescent="0.25">
      <c r="A73" s="461"/>
      <c r="B73" s="461"/>
      <c r="C73" s="461"/>
      <c r="D73" s="462"/>
      <c r="G73" s="461"/>
      <c r="H73" s="461"/>
      <c r="I73" s="461"/>
      <c r="J73" s="463"/>
      <c r="K73" s="460"/>
    </row>
    <row r="74" spans="1:13" x14ac:dyDescent="0.25">
      <c r="A74" s="461"/>
      <c r="B74" s="461"/>
      <c r="C74" s="461"/>
      <c r="D74" s="462"/>
      <c r="G74" s="461"/>
      <c r="H74" s="461"/>
      <c r="I74" s="461"/>
      <c r="J74" s="463"/>
      <c r="K74" s="460"/>
    </row>
    <row r="75" spans="1:13" x14ac:dyDescent="0.25">
      <c r="A75" s="461"/>
      <c r="B75" s="461"/>
      <c r="C75" s="461"/>
      <c r="D75" s="462"/>
      <c r="E75" s="461"/>
      <c r="F75" s="461"/>
      <c r="G75" s="461"/>
      <c r="H75" s="461"/>
      <c r="I75" s="461"/>
      <c r="J75" s="463"/>
      <c r="K75" s="460"/>
    </row>
    <row r="76" spans="1:13" x14ac:dyDescent="0.25">
      <c r="A76" s="461"/>
      <c r="B76" s="461"/>
      <c r="C76" s="461"/>
      <c r="D76" s="462"/>
      <c r="E76" s="461"/>
      <c r="F76" s="461"/>
      <c r="G76" s="461"/>
      <c r="H76" s="461"/>
      <c r="I76" s="461"/>
      <c r="J76" s="463"/>
      <c r="K76" s="460"/>
    </row>
    <row r="77" spans="1:13" x14ac:dyDescent="0.25">
      <c r="A77" s="461"/>
      <c r="B77" s="461"/>
      <c r="C77" s="461"/>
      <c r="D77" s="462"/>
      <c r="E77" s="461"/>
      <c r="F77" s="461"/>
      <c r="G77" s="461"/>
      <c r="H77" s="461"/>
      <c r="I77" s="461"/>
      <c r="J77" s="463"/>
      <c r="K77" s="460"/>
    </row>
    <row r="78" spans="1:13" x14ac:dyDescent="0.25">
      <c r="A78" s="461"/>
      <c r="B78" s="461"/>
      <c r="C78" s="461"/>
      <c r="D78" s="462"/>
      <c r="E78" s="461"/>
      <c r="F78" s="461"/>
      <c r="G78" s="461"/>
      <c r="H78" s="461"/>
      <c r="I78" s="461"/>
      <c r="J78" s="463"/>
      <c r="K78" s="460"/>
    </row>
    <row r="79" spans="1:13" x14ac:dyDescent="0.25">
      <c r="A79" s="461"/>
      <c r="B79" s="461"/>
      <c r="C79" s="461"/>
      <c r="D79" s="462"/>
      <c r="E79" s="461"/>
      <c r="F79" s="461"/>
      <c r="G79" s="461"/>
      <c r="H79" s="461"/>
      <c r="I79" s="461"/>
      <c r="J79" s="463"/>
      <c r="K79" s="460"/>
    </row>
    <row r="80" spans="1:13" x14ac:dyDescent="0.25">
      <c r="A80" s="461"/>
      <c r="B80" s="461"/>
      <c r="C80" s="461"/>
      <c r="D80" s="462"/>
      <c r="E80" s="461"/>
      <c r="F80" s="461"/>
      <c r="G80" s="461"/>
      <c r="H80" s="461"/>
      <c r="I80" s="461"/>
      <c r="J80" s="463"/>
      <c r="K80" s="460"/>
    </row>
    <row r="81" spans="1:11" x14ac:dyDescent="0.25">
      <c r="A81" s="461"/>
      <c r="B81" s="461"/>
      <c r="C81" s="461"/>
      <c r="D81" s="462"/>
      <c r="E81" s="461"/>
      <c r="F81" s="461"/>
      <c r="G81" s="461"/>
      <c r="H81" s="461"/>
      <c r="I81" s="461"/>
      <c r="J81" s="463"/>
      <c r="K81" s="460"/>
    </row>
    <row r="82" spans="1:11" x14ac:dyDescent="0.25">
      <c r="A82" s="461"/>
      <c r="B82" s="461"/>
      <c r="C82" s="461"/>
      <c r="D82" s="462"/>
      <c r="E82" s="461"/>
      <c r="F82" s="461"/>
      <c r="G82" s="461"/>
      <c r="H82" s="461"/>
      <c r="I82" s="461"/>
      <c r="J82" s="463"/>
      <c r="K82" s="460"/>
    </row>
    <row r="83" spans="1:11" x14ac:dyDescent="0.25">
      <c r="A83" s="461"/>
      <c r="B83" s="461"/>
      <c r="C83" s="461"/>
      <c r="D83" s="462"/>
      <c r="E83" s="461"/>
      <c r="F83" s="461"/>
      <c r="G83" s="461"/>
      <c r="H83" s="461"/>
      <c r="I83" s="461"/>
      <c r="J83" s="463"/>
      <c r="K83" s="460"/>
    </row>
    <row r="84" spans="1:11" x14ac:dyDescent="0.25">
      <c r="A84" s="461"/>
      <c r="B84" s="461"/>
      <c r="C84" s="461"/>
      <c r="D84" s="462"/>
      <c r="E84" s="461"/>
      <c r="F84" s="461"/>
      <c r="G84" s="461"/>
      <c r="H84" s="461"/>
      <c r="I84" s="461"/>
      <c r="J84" s="463"/>
      <c r="K84" s="460"/>
    </row>
    <row r="85" spans="1:11" x14ac:dyDescent="0.25">
      <c r="A85" s="461"/>
      <c r="B85" s="461"/>
      <c r="C85" s="461"/>
      <c r="D85" s="462"/>
      <c r="E85" s="461"/>
      <c r="F85" s="461"/>
    </row>
    <row r="86" spans="1:11" x14ac:dyDescent="0.25">
      <c r="A86" s="461"/>
      <c r="B86" s="461"/>
      <c r="C86" s="461"/>
      <c r="D86" s="462"/>
      <c r="E86" s="461"/>
      <c r="F86" s="461"/>
    </row>
    <row r="87" spans="1:11" x14ac:dyDescent="0.25">
      <c r="A87" s="461"/>
      <c r="B87" s="461"/>
      <c r="C87" s="461"/>
      <c r="D87" s="462"/>
      <c r="E87" s="461"/>
      <c r="F87" s="461"/>
    </row>
    <row r="88" spans="1:11" x14ac:dyDescent="0.25">
      <c r="A88" s="461"/>
      <c r="B88" s="461"/>
      <c r="C88" s="461"/>
      <c r="D88" s="462"/>
      <c r="E88" s="461"/>
      <c r="F88" s="461"/>
    </row>
    <row r="89" spans="1:11" x14ac:dyDescent="0.25">
      <c r="A89" s="463"/>
      <c r="B89" s="460"/>
    </row>
    <row r="90" spans="1:11" x14ac:dyDescent="0.25">
      <c r="A90" s="463"/>
      <c r="B90" s="460"/>
    </row>
    <row r="91" spans="1:11" x14ac:dyDescent="0.25">
      <c r="A91" s="463"/>
      <c r="B91" s="460"/>
    </row>
    <row r="92" spans="1:11" x14ac:dyDescent="0.25">
      <c r="A92" s="463"/>
      <c r="B92" s="460"/>
    </row>
    <row r="93" spans="1:11" x14ac:dyDescent="0.25">
      <c r="E93" s="461"/>
      <c r="F93" s="461"/>
      <c r="G93" s="461"/>
      <c r="H93" s="461"/>
      <c r="I93" s="461"/>
      <c r="J93" s="463"/>
      <c r="K93" s="460"/>
    </row>
    <row r="94" spans="1:11" ht="34" x14ac:dyDescent="0.25">
      <c r="A94" s="468" t="s">
        <v>35</v>
      </c>
      <c r="B94" s="469"/>
      <c r="C94" s="469"/>
      <c r="D94" s="470"/>
      <c r="E94" s="461"/>
      <c r="F94" s="461"/>
      <c r="G94" s="461"/>
      <c r="H94" s="461"/>
      <c r="I94" s="461"/>
      <c r="J94" s="463"/>
      <c r="K94" s="460"/>
    </row>
    <row r="95" spans="1:11" x14ac:dyDescent="0.25">
      <c r="A95" s="456"/>
      <c r="B95" s="471" t="s">
        <v>8</v>
      </c>
      <c r="C95" s="471" t="s">
        <v>9</v>
      </c>
      <c r="D95" s="472"/>
      <c r="E95" s="461"/>
      <c r="F95" s="461"/>
      <c r="G95" s="461"/>
      <c r="H95" s="461"/>
      <c r="I95" s="461"/>
      <c r="J95" s="463"/>
      <c r="K95" s="460"/>
    </row>
    <row r="96" spans="1:11" x14ac:dyDescent="0.25">
      <c r="A96" s="456"/>
      <c r="B96" s="473" t="s">
        <v>102</v>
      </c>
      <c r="C96" s="473" t="s">
        <v>102</v>
      </c>
      <c r="D96" s="472"/>
      <c r="E96" s="461"/>
      <c r="F96" s="461"/>
      <c r="G96" s="461"/>
      <c r="H96" s="461"/>
      <c r="I96" s="461"/>
      <c r="J96" s="463"/>
      <c r="K96" s="460"/>
    </row>
    <row r="97" spans="1:11" x14ac:dyDescent="0.25">
      <c r="A97" s="474" t="s">
        <v>10</v>
      </c>
      <c r="B97" s="475">
        <v>72</v>
      </c>
      <c r="C97" s="456">
        <f>B97*(SQRT(3)/2)</f>
        <v>62.353829072479577</v>
      </c>
      <c r="D97" s="472" t="s">
        <v>11</v>
      </c>
      <c r="E97" s="461"/>
      <c r="F97" s="461"/>
      <c r="G97" s="461"/>
      <c r="H97" s="461"/>
      <c r="I97" s="461"/>
      <c r="J97" s="463"/>
      <c r="K97" s="460"/>
    </row>
    <row r="98" spans="1:11" x14ac:dyDescent="0.25">
      <c r="A98" s="456"/>
      <c r="B98" s="456"/>
      <c r="C98" s="456"/>
      <c r="D98" s="472"/>
      <c r="E98" s="461"/>
      <c r="F98" s="461"/>
      <c r="G98" s="461"/>
      <c r="H98" s="461"/>
      <c r="I98" s="461"/>
      <c r="J98" s="463"/>
      <c r="K98" s="460"/>
    </row>
    <row r="99" spans="1:11" x14ac:dyDescent="0.25">
      <c r="A99" s="456"/>
      <c r="B99" s="471" t="s">
        <v>9</v>
      </c>
      <c r="C99" s="471" t="s">
        <v>8</v>
      </c>
      <c r="D99" s="472"/>
      <c r="E99" s="461"/>
      <c r="F99" s="461"/>
      <c r="G99" s="461"/>
      <c r="H99" s="461"/>
      <c r="I99" s="461"/>
      <c r="J99" s="463"/>
      <c r="K99" s="460"/>
    </row>
    <row r="100" spans="1:11" x14ac:dyDescent="0.25">
      <c r="A100" s="474" t="s">
        <v>11</v>
      </c>
      <c r="B100" s="475">
        <v>256</v>
      </c>
      <c r="C100" s="456">
        <f>1/(1/B100*(SQRT(3)/2))</f>
        <v>295.60333782508843</v>
      </c>
      <c r="D100" s="472" t="s">
        <v>10</v>
      </c>
      <c r="E100" s="461"/>
      <c r="F100" s="461"/>
      <c r="G100" s="461"/>
      <c r="H100" s="461"/>
      <c r="I100" s="461"/>
      <c r="J100" s="463"/>
      <c r="K100" s="460"/>
    </row>
    <row r="101" spans="1:11" x14ac:dyDescent="0.25">
      <c r="A101" s="476"/>
      <c r="B101" s="477"/>
      <c r="C101" s="477"/>
      <c r="D101" s="477"/>
      <c r="E101" s="461"/>
      <c r="F101" s="461"/>
      <c r="G101" s="461"/>
      <c r="H101" s="461"/>
      <c r="I101" s="461"/>
      <c r="J101" s="463"/>
      <c r="K101" s="460"/>
    </row>
    <row r="102" spans="1:11" ht="13" thickBot="1" x14ac:dyDescent="0.3">
      <c r="E102" s="461"/>
      <c r="F102" s="461"/>
      <c r="G102" s="461"/>
      <c r="H102" s="461"/>
      <c r="I102" s="461"/>
      <c r="J102" s="463"/>
      <c r="K102" s="460"/>
    </row>
    <row r="103" spans="1:11" ht="40" x14ac:dyDescent="0.25">
      <c r="A103" s="478" t="s">
        <v>12</v>
      </c>
      <c r="B103" s="439"/>
      <c r="C103" s="439"/>
      <c r="D103" s="479"/>
      <c r="E103" s="774" t="s">
        <v>36</v>
      </c>
      <c r="F103" s="480" t="s">
        <v>13</v>
      </c>
      <c r="G103" s="481" t="s">
        <v>14</v>
      </c>
      <c r="J103" s="431">
        <f>(SQRT(I111/E111))*11885</f>
        <v>1617.9505789513144</v>
      </c>
    </row>
    <row r="104" spans="1:11" ht="15.5" x14ac:dyDescent="0.25">
      <c r="A104" s="445"/>
      <c r="D104" s="472"/>
      <c r="E104" s="775" t="s">
        <v>15</v>
      </c>
      <c r="F104" s="482" t="s">
        <v>16</v>
      </c>
      <c r="G104" s="483" t="s">
        <v>17</v>
      </c>
    </row>
    <row r="105" spans="1:11" x14ac:dyDescent="0.25">
      <c r="A105" s="445"/>
      <c r="D105" s="484" t="s">
        <v>426</v>
      </c>
      <c r="E105" s="776">
        <f>565/(E110*3.28084)</f>
        <v>26.211871307338836</v>
      </c>
      <c r="F105" s="485">
        <f>(SQRT(E105/(H110*35.3146667214885))*11250)</f>
        <v>794.75944318787697</v>
      </c>
      <c r="G105" s="777">
        <f>4*F105</f>
        <v>3179.0377727515079</v>
      </c>
    </row>
    <row r="106" spans="1:11" x14ac:dyDescent="0.25">
      <c r="A106" s="445"/>
      <c r="D106" s="484" t="s">
        <v>436</v>
      </c>
      <c r="E106" s="776">
        <f>565/E111</f>
        <v>26.218097447795824</v>
      </c>
      <c r="F106" s="485">
        <f>(SQRT(E106/(H111))*11250)</f>
        <v>795.26100416097836</v>
      </c>
      <c r="G106" s="777">
        <f>4*F106</f>
        <v>3181.0440166439134</v>
      </c>
    </row>
    <row r="107" spans="1:11" x14ac:dyDescent="0.25">
      <c r="A107" s="445"/>
      <c r="D107" s="472"/>
      <c r="E107" s="443"/>
      <c r="F107" s="456"/>
      <c r="G107" s="486"/>
    </row>
    <row r="108" spans="1:11" ht="13.5" thickBot="1" x14ac:dyDescent="0.3">
      <c r="A108" s="445"/>
      <c r="D108" s="472"/>
      <c r="E108" s="778" t="s">
        <v>18</v>
      </c>
      <c r="F108" s="465"/>
      <c r="G108" s="487"/>
    </row>
    <row r="109" spans="1:11" ht="13" x14ac:dyDescent="0.25">
      <c r="A109" s="445"/>
      <c r="D109" s="472"/>
      <c r="E109" s="779" t="s">
        <v>19</v>
      </c>
      <c r="F109" s="467" t="s">
        <v>20</v>
      </c>
      <c r="G109" s="782" t="s">
        <v>21</v>
      </c>
      <c r="H109" s="785" t="s">
        <v>22</v>
      </c>
      <c r="I109" s="879" t="s">
        <v>1614</v>
      </c>
      <c r="J109" s="880"/>
    </row>
    <row r="110" spans="1:11" ht="13" thickBot="1" x14ac:dyDescent="0.3">
      <c r="A110" s="445"/>
      <c r="D110" s="484" t="s">
        <v>426</v>
      </c>
      <c r="E110" s="780">
        <v>6.57</v>
      </c>
      <c r="F110" s="781">
        <v>5.18</v>
      </c>
      <c r="G110" s="783">
        <v>4.37</v>
      </c>
      <c r="H110" s="786">
        <f>G110*F110*E110</f>
        <v>148.72246199999998</v>
      </c>
      <c r="I110" s="881">
        <f>0.35*((H110/100)^(1/3))</f>
        <v>0.39950930575758814</v>
      </c>
      <c r="J110" s="882"/>
    </row>
    <row r="111" spans="1:11" ht="13" thickBot="1" x14ac:dyDescent="0.3">
      <c r="A111" s="447"/>
      <c r="B111" s="448"/>
      <c r="C111" s="448"/>
      <c r="D111" s="488" t="s">
        <v>436</v>
      </c>
      <c r="E111" s="773">
        <v>21.55</v>
      </c>
      <c r="F111" s="773">
        <v>16.989999999999998</v>
      </c>
      <c r="G111" s="784">
        <v>14.33</v>
      </c>
      <c r="H111" s="787">
        <f>E111*F111*G111</f>
        <v>5246.7073849999997</v>
      </c>
      <c r="I111" s="881">
        <f>0.35*(((H111*0.028317)/100))^(1/3)</f>
        <v>0.39937364853983087</v>
      </c>
      <c r="J111" s="882"/>
    </row>
    <row r="112" spans="1:11" x14ac:dyDescent="0.25">
      <c r="D112" s="489"/>
    </row>
    <row r="115" spans="1:7" ht="13" thickBot="1" x14ac:dyDescent="0.3"/>
    <row r="116" spans="1:7" x14ac:dyDescent="0.25">
      <c r="A116" s="464"/>
      <c r="B116" s="439"/>
      <c r="C116" s="439"/>
      <c r="D116" s="439"/>
    </row>
    <row r="117" spans="1:7" ht="34" x14ac:dyDescent="0.25">
      <c r="A117" s="491" t="s">
        <v>386</v>
      </c>
    </row>
    <row r="118" spans="1:7" x14ac:dyDescent="0.25">
      <c r="A118" s="445"/>
      <c r="C118" s="461" t="s">
        <v>387</v>
      </c>
    </row>
    <row r="119" spans="1:7" x14ac:dyDescent="0.25">
      <c r="A119" s="492" t="s">
        <v>389</v>
      </c>
      <c r="B119" s="493">
        <v>4000</v>
      </c>
      <c r="C119" s="494">
        <f>(343359.99/B119)/2</f>
        <v>42.919998749999998</v>
      </c>
    </row>
    <row r="120" spans="1:7" x14ac:dyDescent="0.25">
      <c r="A120" s="445"/>
      <c r="C120" s="490" t="s">
        <v>388</v>
      </c>
      <c r="D120" s="440"/>
    </row>
    <row r="121" spans="1:7" x14ac:dyDescent="0.25">
      <c r="A121" s="492" t="s">
        <v>390</v>
      </c>
      <c r="B121" s="495">
        <v>41.274999999999999</v>
      </c>
      <c r="C121" s="496">
        <f>(343359.99/B121)/2</f>
        <v>4159.4184130829799</v>
      </c>
      <c r="D121" s="440"/>
      <c r="E121" s="490"/>
      <c r="F121" s="490"/>
      <c r="G121" s="490"/>
    </row>
    <row r="122" spans="1:7" ht="13" thickBot="1" x14ac:dyDescent="0.3">
      <c r="A122" s="447"/>
      <c r="B122" s="448"/>
      <c r="C122" s="448"/>
      <c r="D122" s="449"/>
      <c r="E122" s="490"/>
      <c r="F122" s="490"/>
      <c r="G122" s="490"/>
    </row>
  </sheetData>
  <sheetProtection selectLockedCells="1"/>
  <mergeCells count="15">
    <mergeCell ref="I109:J109"/>
    <mergeCell ref="I110:J110"/>
    <mergeCell ref="I111:J111"/>
    <mergeCell ref="A65:D65"/>
    <mergeCell ref="A63:C63"/>
    <mergeCell ref="E63:I63"/>
    <mergeCell ref="F61:F62"/>
    <mergeCell ref="I2:J6"/>
    <mergeCell ref="C8:D8"/>
    <mergeCell ref="C9:D9"/>
    <mergeCell ref="C10:D10"/>
    <mergeCell ref="C11:D11"/>
    <mergeCell ref="A13:C18"/>
    <mergeCell ref="A61:A62"/>
    <mergeCell ref="C61:C62"/>
  </mergeCells>
  <phoneticPr fontId="0" type="noConversion"/>
  <hyperlinks>
    <hyperlink ref="F1" r:id="rId1"/>
  </hyperlinks>
  <pageMargins left="0.75" right="0.75" top="1" bottom="1" header="0.5" footer="0.5"/>
  <pageSetup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BG362"/>
  <sheetViews>
    <sheetView workbookViewId="0">
      <selection activeCell="A3" sqref="A3"/>
    </sheetView>
  </sheetViews>
  <sheetFormatPr defaultColWidth="8.7265625" defaultRowHeight="12.5" x14ac:dyDescent="0.25"/>
  <cols>
    <col min="1" max="1" width="36.6328125" style="28" customWidth="1"/>
    <col min="2" max="2" width="12.6328125" style="722" customWidth="1"/>
    <col min="3" max="3" width="12.6328125" style="725" customWidth="1"/>
    <col min="4" max="4" width="12.6328125" style="28" customWidth="1"/>
    <col min="5" max="5" width="9.6328125" style="28" bestFit="1" customWidth="1"/>
    <col min="6" max="6" width="11.90625" style="28" bestFit="1" customWidth="1"/>
    <col min="7" max="7" width="9.90625" style="28" bestFit="1" customWidth="1"/>
    <col min="8" max="8" width="10.90625" style="28" bestFit="1" customWidth="1"/>
    <col min="9" max="9" width="32.26953125" style="731" bestFit="1" customWidth="1"/>
    <col min="10" max="10" width="10.90625" style="644" bestFit="1" customWidth="1"/>
    <col min="11" max="15" width="10.90625" style="28" bestFit="1" customWidth="1"/>
    <col min="16" max="55" width="11.90625" style="28" bestFit="1" customWidth="1"/>
    <col min="56" max="59" width="10.6328125" style="28" bestFit="1" customWidth="1"/>
    <col min="60" max="16384" width="8.7265625" style="28"/>
  </cols>
  <sheetData>
    <row r="2" spans="1:59" s="720" customFormat="1" ht="15.5" x14ac:dyDescent="0.35">
      <c r="B2" s="721"/>
      <c r="I2" s="731"/>
      <c r="J2" s="644"/>
    </row>
    <row r="3" spans="1:59" x14ac:dyDescent="0.25">
      <c r="B3" s="722" t="s">
        <v>86</v>
      </c>
      <c r="C3" s="92" t="s">
        <v>86</v>
      </c>
      <c r="E3" s="723"/>
      <c r="F3" s="723"/>
      <c r="G3" s="723"/>
      <c r="H3" s="723"/>
      <c r="I3" s="744"/>
      <c r="K3" s="723"/>
      <c r="L3" s="723"/>
      <c r="M3" s="723"/>
      <c r="N3" s="723"/>
      <c r="O3" s="723"/>
      <c r="P3" s="723"/>
      <c r="Q3" s="723"/>
      <c r="R3" s="723"/>
      <c r="S3" s="723"/>
      <c r="T3" s="723"/>
      <c r="U3" s="723"/>
      <c r="V3" s="723"/>
      <c r="W3" s="723"/>
      <c r="X3" s="723"/>
      <c r="Y3" s="723"/>
      <c r="Z3" s="723"/>
      <c r="AA3" s="723"/>
      <c r="AB3" s="723"/>
      <c r="AC3" s="723"/>
      <c r="AD3" s="723"/>
      <c r="AE3" s="723"/>
      <c r="AF3" s="723"/>
      <c r="AG3" s="723"/>
      <c r="AH3" s="723"/>
      <c r="AI3" s="723"/>
      <c r="AJ3" s="723"/>
      <c r="AK3" s="723"/>
      <c r="AL3" s="723"/>
      <c r="AM3" s="723"/>
      <c r="AN3" s="723"/>
      <c r="AO3" s="723"/>
      <c r="AP3" s="723"/>
      <c r="AQ3" s="723"/>
      <c r="AR3" s="723"/>
      <c r="AS3" s="723"/>
      <c r="AT3" s="723"/>
    </row>
    <row r="4" spans="1:59" s="616" customFormat="1" ht="13" customHeight="1" x14ac:dyDescent="0.3">
      <c r="A4" s="735" t="s">
        <v>1439</v>
      </c>
      <c r="B4" s="736" t="s">
        <v>30</v>
      </c>
      <c r="C4" s="14" t="s">
        <v>37</v>
      </c>
      <c r="D4" s="748" t="s">
        <v>1440</v>
      </c>
      <c r="E4" s="737"/>
      <c r="F4" s="737"/>
      <c r="G4" s="737"/>
      <c r="H4" s="737"/>
      <c r="I4" s="742"/>
      <c r="J4" s="644"/>
      <c r="K4" s="737"/>
      <c r="L4" s="737"/>
      <c r="M4" s="737"/>
      <c r="N4" s="737"/>
      <c r="O4" s="737"/>
      <c r="P4" s="737"/>
      <c r="Q4" s="737"/>
      <c r="R4" s="737"/>
      <c r="S4" s="737"/>
      <c r="T4" s="737"/>
      <c r="U4" s="737"/>
      <c r="V4" s="737"/>
      <c r="W4" s="737"/>
      <c r="X4" s="737"/>
      <c r="Y4" s="737"/>
      <c r="Z4" s="737"/>
      <c r="AA4" s="737"/>
      <c r="AB4" s="737"/>
      <c r="AC4" s="737"/>
      <c r="AD4" s="737"/>
      <c r="AE4" s="737"/>
      <c r="AF4" s="737"/>
      <c r="AG4" s="737"/>
      <c r="AH4" s="737"/>
      <c r="AI4" s="737"/>
      <c r="AJ4" s="737"/>
      <c r="AK4" s="737"/>
      <c r="AL4" s="737"/>
      <c r="AM4" s="737"/>
      <c r="AN4" s="737"/>
      <c r="AO4" s="737"/>
      <c r="AP4" s="737"/>
      <c r="AQ4" s="737"/>
      <c r="AR4" s="737"/>
      <c r="AS4" s="737"/>
      <c r="AT4" s="737"/>
      <c r="AU4" s="737"/>
      <c r="AV4" s="737"/>
      <c r="AW4" s="737"/>
      <c r="AX4" s="737"/>
      <c r="AY4" s="737"/>
      <c r="AZ4" s="737"/>
      <c r="BA4" s="737"/>
      <c r="BB4" s="737"/>
    </row>
    <row r="5" spans="1:59" ht="13" x14ac:dyDescent="0.25">
      <c r="A5" s="28" t="s">
        <v>103</v>
      </c>
      <c r="B5" s="724">
        <v>1180</v>
      </c>
      <c r="C5" s="725">
        <f t="shared" ref="C5:C81" si="0">(B5*(2.20462262184877))/35.3146667214885</f>
        <v>73.664993479850637</v>
      </c>
      <c r="D5" s="747">
        <v>3.2</v>
      </c>
      <c r="E5" s="726"/>
      <c r="F5" s="726"/>
      <c r="G5" s="726"/>
      <c r="H5" s="726"/>
      <c r="I5" s="746"/>
      <c r="J5" s="748" t="s">
        <v>1440</v>
      </c>
      <c r="K5" s="726"/>
      <c r="L5" s="726"/>
      <c r="M5" s="726"/>
      <c r="N5" s="726"/>
      <c r="O5" s="726"/>
      <c r="P5" s="726"/>
      <c r="Q5" s="726"/>
      <c r="R5" s="726"/>
      <c r="S5" s="726"/>
      <c r="T5" s="72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c r="AT5" s="726"/>
      <c r="AU5" s="726"/>
      <c r="AV5" s="726"/>
      <c r="AW5" s="726"/>
      <c r="AX5" s="726"/>
      <c r="AY5" s="726"/>
      <c r="AZ5" s="726"/>
      <c r="BA5" s="726"/>
      <c r="BB5" s="726"/>
    </row>
    <row r="6" spans="1:59" x14ac:dyDescent="0.25">
      <c r="A6" s="616" t="s">
        <v>1526</v>
      </c>
      <c r="B6" s="722">
        <v>2600</v>
      </c>
      <c r="C6" s="725">
        <f>(B6*(2.20462262184877))/35.3146667214885</f>
        <v>162.31269749797596</v>
      </c>
      <c r="D6" s="747">
        <v>69</v>
      </c>
      <c r="E6" s="726"/>
      <c r="F6" s="726"/>
      <c r="G6" s="726"/>
      <c r="H6" s="726"/>
      <c r="I6" s="746" t="s">
        <v>1441</v>
      </c>
      <c r="J6" s="747" t="s">
        <v>1442</v>
      </c>
      <c r="K6" s="726"/>
      <c r="L6" s="726"/>
      <c r="M6" s="726"/>
      <c r="N6" s="726"/>
      <c r="O6" s="726"/>
      <c r="P6" s="726"/>
      <c r="Q6" s="726"/>
      <c r="R6" s="726"/>
      <c r="S6" s="726"/>
      <c r="T6" s="726"/>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c r="AT6" s="726"/>
      <c r="AU6" s="726"/>
      <c r="AV6" s="726"/>
      <c r="AW6" s="726"/>
      <c r="AX6" s="726"/>
      <c r="AY6" s="726"/>
      <c r="AZ6" s="726"/>
      <c r="BA6" s="726"/>
      <c r="BB6" s="726"/>
      <c r="BC6" s="726"/>
      <c r="BD6" s="726"/>
      <c r="BE6" s="726"/>
      <c r="BF6" s="726"/>
      <c r="BG6" s="726"/>
    </row>
    <row r="7" spans="1:59" x14ac:dyDescent="0.25">
      <c r="A7" s="28" t="s">
        <v>583</v>
      </c>
      <c r="B7" s="722">
        <v>8200</v>
      </c>
      <c r="C7" s="725">
        <f>(B7*(2.20462262184877))/35.3146667214885</f>
        <v>511.90927672438573</v>
      </c>
      <c r="D7" s="747">
        <v>120</v>
      </c>
      <c r="E7" s="726"/>
      <c r="F7" s="726"/>
      <c r="G7" s="726"/>
      <c r="H7" s="726"/>
      <c r="I7" s="746" t="s">
        <v>1443</v>
      </c>
      <c r="J7" s="747">
        <v>2.8</v>
      </c>
      <c r="K7" s="726"/>
      <c r="L7" s="726"/>
      <c r="M7" s="726"/>
      <c r="N7" s="726"/>
      <c r="O7" s="726"/>
      <c r="P7" s="726"/>
      <c r="Q7" s="726"/>
      <c r="R7" s="726"/>
      <c r="S7" s="726"/>
      <c r="T7" s="726"/>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c r="AT7" s="726"/>
      <c r="AU7" s="726"/>
      <c r="AV7" s="726"/>
      <c r="AW7" s="726"/>
      <c r="AX7" s="726"/>
      <c r="AY7" s="726"/>
      <c r="AZ7" s="726"/>
      <c r="BA7" s="726"/>
      <c r="BB7" s="726"/>
      <c r="BC7" s="726"/>
      <c r="BD7" s="726"/>
      <c r="BE7" s="726"/>
      <c r="BF7" s="726"/>
      <c r="BG7" s="726"/>
    </row>
    <row r="8" spans="1:59" x14ac:dyDescent="0.25">
      <c r="A8" s="28" t="s">
        <v>584</v>
      </c>
      <c r="B8" s="722">
        <v>2725</v>
      </c>
      <c r="C8" s="725">
        <f>(B8*(2.20462262184877))/35.3146667214885</f>
        <v>170.11619256999404</v>
      </c>
      <c r="D8" s="92"/>
      <c r="E8" s="726"/>
      <c r="F8" s="726"/>
      <c r="G8" s="726"/>
      <c r="H8" s="726"/>
      <c r="I8" s="746" t="s">
        <v>1444</v>
      </c>
      <c r="J8" s="747">
        <v>3.2</v>
      </c>
      <c r="K8" s="726"/>
      <c r="L8" s="726"/>
      <c r="M8" s="726"/>
      <c r="N8" s="726"/>
      <c r="O8" s="726"/>
      <c r="P8" s="726"/>
      <c r="Q8" s="726"/>
      <c r="R8" s="726"/>
      <c r="S8" s="726"/>
      <c r="T8" s="726"/>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c r="AT8" s="726"/>
      <c r="AU8" s="726"/>
      <c r="AV8" s="726"/>
      <c r="AW8" s="726"/>
      <c r="AX8" s="726"/>
      <c r="AY8" s="726"/>
      <c r="AZ8" s="726"/>
      <c r="BA8" s="726"/>
      <c r="BB8" s="726"/>
      <c r="BC8" s="726"/>
      <c r="BD8" s="726"/>
      <c r="BE8" s="726"/>
      <c r="BF8" s="726"/>
      <c r="BG8" s="726"/>
    </row>
    <row r="9" spans="1:59" x14ac:dyDescent="0.25">
      <c r="A9" s="28" t="s">
        <v>585</v>
      </c>
      <c r="B9" s="722">
        <v>9850</v>
      </c>
      <c r="C9" s="725">
        <f>(B9*(2.20462262184877))/35.3146667214885</f>
        <v>614.9154116750243</v>
      </c>
      <c r="D9" s="92"/>
      <c r="E9" s="726"/>
      <c r="F9" s="726"/>
      <c r="G9" s="726"/>
      <c r="H9" s="726"/>
      <c r="I9" s="746" t="s">
        <v>1445</v>
      </c>
      <c r="J9" s="747">
        <v>120</v>
      </c>
      <c r="K9" s="726"/>
      <c r="L9" s="726"/>
      <c r="M9" s="726"/>
      <c r="N9" s="726"/>
      <c r="O9" s="726"/>
      <c r="P9" s="726"/>
      <c r="Q9" s="726"/>
      <c r="R9" s="726"/>
      <c r="S9" s="726"/>
      <c r="T9" s="726"/>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c r="AT9" s="726"/>
      <c r="AU9" s="726"/>
      <c r="AV9" s="726"/>
      <c r="AW9" s="726"/>
      <c r="AX9" s="726"/>
      <c r="AY9" s="726"/>
      <c r="AZ9" s="726"/>
      <c r="BA9" s="726"/>
      <c r="BB9" s="726"/>
      <c r="BC9" s="726"/>
      <c r="BD9" s="726"/>
      <c r="BE9" s="726"/>
      <c r="BF9" s="726"/>
      <c r="BG9" s="726"/>
    </row>
    <row r="10" spans="1:59" x14ac:dyDescent="0.25">
      <c r="A10" s="727" t="s">
        <v>104</v>
      </c>
      <c r="B10" s="728">
        <v>360</v>
      </c>
      <c r="C10" s="725">
        <f t="shared" si="0"/>
        <v>22.47406580741206</v>
      </c>
      <c r="D10" s="92"/>
      <c r="E10" s="726"/>
      <c r="F10" s="726"/>
      <c r="G10" s="726"/>
      <c r="H10" s="726"/>
      <c r="I10" s="746" t="s">
        <v>804</v>
      </c>
      <c r="J10" s="747">
        <v>69</v>
      </c>
      <c r="K10" s="726"/>
      <c r="L10" s="726"/>
      <c r="M10" s="726"/>
      <c r="N10" s="726"/>
      <c r="O10" s="726"/>
      <c r="P10" s="726"/>
      <c r="Q10" s="726"/>
      <c r="R10" s="726"/>
      <c r="S10" s="726"/>
      <c r="T10" s="726"/>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c r="AT10" s="726"/>
      <c r="AU10" s="726"/>
      <c r="AV10" s="726"/>
      <c r="AW10" s="726"/>
      <c r="AX10" s="726"/>
      <c r="AY10" s="726"/>
      <c r="AZ10" s="726"/>
      <c r="BA10" s="726"/>
      <c r="BB10" s="726"/>
    </row>
    <row r="11" spans="1:59" x14ac:dyDescent="0.25">
      <c r="A11" s="727" t="s">
        <v>105</v>
      </c>
      <c r="B11" s="728">
        <v>1600</v>
      </c>
      <c r="C11" s="725">
        <f t="shared" si="0"/>
        <v>99.884736921831362</v>
      </c>
      <c r="D11" s="92"/>
      <c r="E11" s="726"/>
      <c r="F11" s="726"/>
      <c r="G11" s="726"/>
      <c r="H11" s="726"/>
      <c r="I11" s="746" t="s">
        <v>1446</v>
      </c>
      <c r="J11" s="747" t="s">
        <v>1447</v>
      </c>
      <c r="K11" s="726"/>
      <c r="L11" s="726"/>
      <c r="M11" s="726"/>
      <c r="N11" s="726"/>
      <c r="O11" s="726"/>
      <c r="P11" s="726"/>
      <c r="Q11" s="726"/>
      <c r="R11" s="726"/>
      <c r="S11" s="726"/>
      <c r="T11" s="72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c r="AT11" s="726"/>
      <c r="AU11" s="726"/>
      <c r="AV11" s="726"/>
      <c r="AW11" s="726"/>
      <c r="AX11" s="726"/>
      <c r="AY11" s="726"/>
      <c r="AZ11" s="726"/>
      <c r="BA11" s="726"/>
      <c r="BB11" s="726"/>
    </row>
    <row r="12" spans="1:59" x14ac:dyDescent="0.25">
      <c r="A12" s="727" t="s">
        <v>106</v>
      </c>
      <c r="B12" s="728">
        <v>610</v>
      </c>
      <c r="C12" s="725">
        <f t="shared" si="0"/>
        <v>38.081055951448214</v>
      </c>
      <c r="D12" s="92"/>
      <c r="E12" s="726"/>
      <c r="F12" s="726"/>
      <c r="G12" s="726"/>
      <c r="H12" s="726"/>
      <c r="I12" s="746" t="s">
        <v>1448</v>
      </c>
      <c r="J12" s="747" t="s">
        <v>1449</v>
      </c>
      <c r="K12" s="726"/>
      <c r="L12" s="726"/>
      <c r="M12" s="726"/>
      <c r="N12" s="726"/>
      <c r="O12" s="726"/>
      <c r="P12" s="726"/>
      <c r="Q12" s="726"/>
      <c r="R12" s="726"/>
      <c r="S12" s="726"/>
      <c r="T12" s="726"/>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c r="AT12" s="726"/>
      <c r="AU12" s="726"/>
      <c r="AV12" s="726"/>
      <c r="AW12" s="726"/>
      <c r="AX12" s="726"/>
      <c r="AY12" s="726"/>
      <c r="AZ12" s="726"/>
      <c r="BA12" s="726"/>
      <c r="BB12" s="726"/>
    </row>
    <row r="13" spans="1:59" x14ac:dyDescent="0.25">
      <c r="A13" s="727" t="s">
        <v>107</v>
      </c>
      <c r="B13" s="728">
        <v>810</v>
      </c>
      <c r="C13" s="725">
        <f t="shared" si="0"/>
        <v>50.566648066677132</v>
      </c>
      <c r="D13" s="92"/>
      <c r="E13" s="726"/>
      <c r="F13" s="726"/>
      <c r="G13" s="726"/>
      <c r="H13" s="726"/>
      <c r="I13" s="746" t="s">
        <v>1450</v>
      </c>
      <c r="J13" s="747">
        <v>18</v>
      </c>
      <c r="K13" s="726"/>
      <c r="L13" s="726"/>
      <c r="M13" s="726"/>
      <c r="N13" s="726"/>
      <c r="O13" s="726"/>
      <c r="P13" s="726"/>
      <c r="Q13" s="726"/>
      <c r="R13" s="726"/>
      <c r="S13" s="726"/>
      <c r="T13" s="726"/>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c r="AT13" s="726"/>
      <c r="AU13" s="726"/>
      <c r="AV13" s="726"/>
      <c r="AW13" s="726"/>
      <c r="AX13" s="726"/>
      <c r="AY13" s="726"/>
      <c r="AZ13" s="726"/>
      <c r="BA13" s="726"/>
      <c r="BB13" s="726"/>
    </row>
    <row r="14" spans="1:59" x14ac:dyDescent="0.25">
      <c r="A14" s="729" t="s">
        <v>108</v>
      </c>
      <c r="B14" s="730">
        <v>721</v>
      </c>
      <c r="C14" s="725">
        <f t="shared" si="0"/>
        <v>45.010559575400265</v>
      </c>
      <c r="D14" s="92"/>
      <c r="E14" s="726"/>
      <c r="F14" s="726"/>
      <c r="G14" s="726"/>
      <c r="H14" s="726"/>
      <c r="I14" s="746" t="s">
        <v>1451</v>
      </c>
      <c r="J14" s="747">
        <v>76</v>
      </c>
      <c r="K14" s="726"/>
      <c r="L14" s="726"/>
      <c r="M14" s="726"/>
      <c r="N14" s="726"/>
      <c r="O14" s="726"/>
      <c r="P14" s="726"/>
      <c r="Q14" s="726"/>
      <c r="R14" s="726"/>
      <c r="S14" s="726"/>
      <c r="T14" s="726"/>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c r="AT14" s="726"/>
      <c r="AU14" s="726"/>
      <c r="AV14" s="726"/>
      <c r="AW14" s="726"/>
      <c r="AX14" s="726"/>
      <c r="AY14" s="726"/>
      <c r="AZ14" s="726"/>
      <c r="BA14" s="726"/>
      <c r="BB14" s="726"/>
    </row>
    <row r="15" spans="1:59" x14ac:dyDescent="0.25">
      <c r="A15" s="729" t="s">
        <v>109</v>
      </c>
      <c r="B15" s="730">
        <v>2883</v>
      </c>
      <c r="C15" s="725">
        <f t="shared" si="0"/>
        <v>179.97981034102489</v>
      </c>
      <c r="D15" s="92"/>
      <c r="E15" s="726"/>
      <c r="F15" s="726"/>
      <c r="G15" s="726"/>
      <c r="H15" s="726"/>
      <c r="I15" s="746" t="s">
        <v>753</v>
      </c>
      <c r="J15" s="747" t="s">
        <v>1452</v>
      </c>
      <c r="K15" s="726"/>
      <c r="L15" s="726"/>
      <c r="M15" s="726"/>
      <c r="N15" s="726"/>
      <c r="O15" s="726"/>
      <c r="P15" s="726"/>
      <c r="Q15" s="726"/>
      <c r="R15" s="726"/>
      <c r="S15" s="726"/>
      <c r="T15" s="726"/>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c r="AT15" s="726"/>
      <c r="AU15" s="726"/>
      <c r="AV15" s="726"/>
      <c r="AW15" s="726"/>
    </row>
    <row r="16" spans="1:59" ht="13" customHeight="1" x14ac:dyDescent="0.25">
      <c r="A16" s="727" t="s">
        <v>110</v>
      </c>
      <c r="B16" s="728">
        <v>1954</v>
      </c>
      <c r="C16" s="725">
        <f t="shared" si="0"/>
        <v>121.98423496578656</v>
      </c>
      <c r="D16" s="92"/>
      <c r="E16" s="726"/>
      <c r="F16" s="726"/>
      <c r="G16" s="726"/>
      <c r="H16" s="726"/>
      <c r="I16" s="746" t="s">
        <v>1453</v>
      </c>
      <c r="J16" s="747">
        <v>100</v>
      </c>
      <c r="K16" s="726"/>
      <c r="L16" s="726"/>
      <c r="M16" s="726"/>
      <c r="N16" s="726"/>
      <c r="O16" s="726"/>
      <c r="P16" s="726"/>
      <c r="Q16" s="726"/>
      <c r="R16" s="726"/>
      <c r="S16" s="726"/>
      <c r="T16" s="726"/>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c r="AT16" s="726"/>
      <c r="AU16" s="726"/>
      <c r="AV16" s="726"/>
      <c r="AW16" s="726"/>
    </row>
    <row r="17" spans="1:59" x14ac:dyDescent="0.25">
      <c r="A17" s="729" t="s">
        <v>111</v>
      </c>
      <c r="B17" s="730">
        <v>3011</v>
      </c>
      <c r="C17" s="725">
        <f t="shared" si="0"/>
        <v>187.9705892947714</v>
      </c>
      <c r="D17" s="92"/>
      <c r="E17" s="726"/>
      <c r="F17" s="726"/>
      <c r="G17" s="726"/>
      <c r="H17" s="726"/>
      <c r="I17" s="746" t="s">
        <v>1454</v>
      </c>
      <c r="J17" s="747" t="s">
        <v>1455</v>
      </c>
      <c r="K17" s="726"/>
      <c r="L17" s="726"/>
      <c r="M17" s="726"/>
      <c r="N17" s="726"/>
      <c r="O17" s="726"/>
      <c r="P17" s="726"/>
      <c r="Q17" s="726"/>
      <c r="R17" s="726"/>
      <c r="S17" s="726"/>
      <c r="T17" s="726"/>
      <c r="U17" s="726"/>
      <c r="V17" s="726"/>
      <c r="W17" s="726"/>
      <c r="X17" s="726"/>
      <c r="Y17" s="726"/>
      <c r="Z17" s="726"/>
      <c r="AA17" s="726"/>
      <c r="AB17" s="726"/>
      <c r="AC17" s="726"/>
      <c r="AD17" s="726"/>
      <c r="AE17" s="726"/>
      <c r="AF17" s="726"/>
      <c r="AG17" s="726"/>
      <c r="AH17" s="726"/>
      <c r="AI17" s="726"/>
      <c r="AJ17" s="726"/>
      <c r="AK17" s="726"/>
      <c r="AL17" s="726"/>
      <c r="AM17" s="726"/>
      <c r="AN17" s="726"/>
      <c r="AO17" s="726"/>
      <c r="AP17" s="726"/>
      <c r="AQ17" s="726"/>
      <c r="AR17" s="726"/>
      <c r="AS17" s="726"/>
      <c r="AT17" s="726"/>
      <c r="AU17" s="726"/>
      <c r="AV17" s="726"/>
      <c r="AW17" s="726"/>
      <c r="AX17" s="726"/>
      <c r="AY17" s="726"/>
      <c r="AZ17" s="726"/>
      <c r="BA17" s="726"/>
      <c r="BB17" s="726"/>
    </row>
    <row r="18" spans="1:59" x14ac:dyDescent="0.25">
      <c r="A18" s="727" t="s">
        <v>112</v>
      </c>
      <c r="B18" s="728">
        <v>1281</v>
      </c>
      <c r="C18" s="725">
        <f t="shared" si="0"/>
        <v>79.970217498041237</v>
      </c>
      <c r="D18" s="92"/>
      <c r="E18" s="726"/>
      <c r="F18" s="726"/>
      <c r="G18" s="726"/>
      <c r="H18" s="726"/>
      <c r="I18" s="746" t="s">
        <v>1456</v>
      </c>
      <c r="J18" s="747">
        <v>0.8</v>
      </c>
      <c r="K18" s="726"/>
      <c r="L18" s="726"/>
      <c r="M18" s="726"/>
      <c r="N18" s="726"/>
      <c r="O18" s="726"/>
      <c r="P18" s="726"/>
      <c r="Q18" s="726"/>
      <c r="R18" s="726"/>
      <c r="S18" s="726"/>
      <c r="T18" s="726"/>
      <c r="U18" s="726"/>
      <c r="V18" s="726"/>
      <c r="W18" s="726"/>
      <c r="X18" s="726"/>
      <c r="Y18" s="726"/>
      <c r="Z18" s="726"/>
      <c r="AA18" s="726"/>
      <c r="AB18" s="726"/>
      <c r="AC18" s="726"/>
      <c r="AD18" s="726"/>
      <c r="AE18" s="726"/>
      <c r="AF18" s="726"/>
      <c r="AG18" s="726"/>
      <c r="AH18" s="726"/>
      <c r="AI18" s="726"/>
      <c r="AJ18" s="726"/>
      <c r="AK18" s="726"/>
      <c r="AL18" s="726"/>
      <c r="AM18" s="726"/>
      <c r="AN18" s="726"/>
      <c r="AO18" s="726"/>
      <c r="AP18" s="726"/>
      <c r="AQ18" s="726"/>
      <c r="AR18" s="726"/>
      <c r="AS18" s="726"/>
      <c r="AT18" s="726"/>
      <c r="AU18" s="726"/>
      <c r="AV18" s="726"/>
      <c r="AW18" s="726"/>
      <c r="AX18" s="726"/>
      <c r="AY18" s="726"/>
      <c r="AZ18" s="726"/>
      <c r="BA18" s="726"/>
      <c r="BB18" s="726"/>
    </row>
    <row r="19" spans="1:59" x14ac:dyDescent="0.25">
      <c r="A19" s="729" t="s">
        <v>113</v>
      </c>
      <c r="B19" s="730">
        <v>593</v>
      </c>
      <c r="C19" s="725">
        <f t="shared" si="0"/>
        <v>37.019780621653751</v>
      </c>
      <c r="D19" s="92"/>
      <c r="E19" s="726"/>
      <c r="F19" s="726"/>
      <c r="G19" s="726"/>
      <c r="H19" s="726"/>
      <c r="I19" s="746" t="s">
        <v>1457</v>
      </c>
      <c r="J19" s="747">
        <v>150</v>
      </c>
      <c r="K19" s="726"/>
      <c r="L19" s="726"/>
      <c r="M19" s="726"/>
      <c r="N19" s="726"/>
      <c r="O19" s="726"/>
      <c r="P19" s="726"/>
      <c r="Q19" s="726"/>
      <c r="R19" s="726"/>
      <c r="S19" s="726"/>
      <c r="T19" s="726"/>
      <c r="U19" s="726"/>
      <c r="V19" s="726"/>
      <c r="W19" s="726"/>
      <c r="X19" s="726"/>
      <c r="Y19" s="726"/>
      <c r="Z19" s="726"/>
      <c r="AA19" s="726"/>
      <c r="AB19" s="726"/>
      <c r="AC19" s="726"/>
      <c r="AD19" s="726"/>
      <c r="AE19" s="726"/>
      <c r="AF19" s="726"/>
      <c r="AG19" s="726"/>
      <c r="AH19" s="726"/>
      <c r="AI19" s="726"/>
      <c r="AJ19" s="726"/>
      <c r="AK19" s="726"/>
      <c r="AL19" s="726"/>
      <c r="AM19" s="726"/>
      <c r="AN19" s="726"/>
      <c r="AO19" s="726"/>
      <c r="AP19" s="726"/>
      <c r="AQ19" s="726"/>
      <c r="AR19" s="726"/>
      <c r="AS19" s="726"/>
      <c r="AT19" s="726"/>
      <c r="AU19" s="726"/>
      <c r="AV19" s="726"/>
      <c r="AW19" s="726"/>
      <c r="AX19" s="726"/>
      <c r="AY19" s="726"/>
      <c r="AZ19" s="726"/>
      <c r="BA19" s="726"/>
      <c r="BB19" s="726"/>
    </row>
    <row r="20" spans="1:59" x14ac:dyDescent="0.25">
      <c r="A20" s="28" t="s">
        <v>586</v>
      </c>
      <c r="B20" s="722">
        <v>1840</v>
      </c>
      <c r="C20" s="725">
        <f t="shared" ref="C20:C26" si="1">(B20*(2.20462262184877))/35.3146667214885</f>
        <v>114.86744746010608</v>
      </c>
      <c r="D20" s="747" t="s">
        <v>1449</v>
      </c>
      <c r="E20" s="726"/>
      <c r="F20" s="726"/>
      <c r="G20" s="726"/>
      <c r="H20" s="726"/>
      <c r="I20" s="746" t="s">
        <v>1458</v>
      </c>
      <c r="J20" s="747" t="s">
        <v>1459</v>
      </c>
      <c r="K20" s="726"/>
      <c r="L20" s="726"/>
      <c r="M20" s="726"/>
      <c r="N20" s="726"/>
      <c r="O20" s="726"/>
      <c r="P20" s="726"/>
      <c r="Q20" s="726"/>
      <c r="R20" s="726"/>
      <c r="S20" s="726"/>
      <c r="T20" s="726"/>
      <c r="U20" s="726"/>
      <c r="V20" s="726"/>
      <c r="W20" s="726"/>
      <c r="X20" s="726"/>
      <c r="Y20" s="726"/>
      <c r="Z20" s="726"/>
      <c r="AA20" s="726"/>
      <c r="AB20" s="726"/>
      <c r="AC20" s="726"/>
      <c r="AD20" s="726"/>
      <c r="AE20" s="726"/>
      <c r="AF20" s="726"/>
      <c r="AG20" s="726"/>
      <c r="AH20" s="726"/>
      <c r="AI20" s="726"/>
      <c r="AJ20" s="726"/>
      <c r="AK20" s="726"/>
      <c r="AL20" s="726"/>
      <c r="AM20" s="726"/>
      <c r="AN20" s="726"/>
      <c r="AO20" s="726"/>
      <c r="AP20" s="726"/>
      <c r="AQ20" s="726"/>
      <c r="AR20" s="726"/>
      <c r="AS20" s="726"/>
      <c r="AT20" s="726"/>
      <c r="AU20" s="726"/>
      <c r="AV20" s="726"/>
      <c r="AW20" s="726"/>
      <c r="AX20" s="726"/>
      <c r="AY20" s="726"/>
      <c r="AZ20" s="726"/>
      <c r="BA20" s="726"/>
      <c r="BB20" s="726"/>
      <c r="BC20" s="726"/>
      <c r="BD20" s="726"/>
      <c r="BE20" s="726"/>
      <c r="BF20" s="726"/>
      <c r="BG20" s="726"/>
    </row>
    <row r="21" spans="1:59" x14ac:dyDescent="0.25">
      <c r="A21" s="28" t="s">
        <v>587</v>
      </c>
      <c r="B21" s="722">
        <v>8175</v>
      </c>
      <c r="C21" s="725">
        <f t="shared" si="1"/>
        <v>510.34857770998212</v>
      </c>
      <c r="D21" s="92"/>
      <c r="E21" s="726"/>
      <c r="F21" s="726"/>
      <c r="G21" s="726"/>
      <c r="H21" s="726"/>
      <c r="I21" s="746" t="s">
        <v>1460</v>
      </c>
      <c r="J21" s="747">
        <v>1.1000000000000001</v>
      </c>
      <c r="K21" s="726"/>
      <c r="L21" s="726"/>
      <c r="M21" s="726"/>
      <c r="N21" s="726"/>
      <c r="O21" s="726"/>
      <c r="P21" s="726"/>
      <c r="Q21" s="726"/>
      <c r="R21" s="726"/>
      <c r="S21" s="726"/>
      <c r="T21" s="726"/>
      <c r="U21" s="726"/>
      <c r="V21" s="726"/>
      <c r="W21" s="726"/>
      <c r="X21" s="726"/>
      <c r="Y21" s="726"/>
      <c r="Z21" s="726"/>
      <c r="AA21" s="726"/>
      <c r="AB21" s="726"/>
      <c r="AC21" s="726"/>
      <c r="AD21" s="726"/>
      <c r="AE21" s="726"/>
      <c r="AF21" s="726"/>
      <c r="AG21" s="726"/>
      <c r="AH21" s="726"/>
      <c r="AI21" s="726"/>
      <c r="AJ21" s="726"/>
      <c r="AK21" s="726"/>
      <c r="AL21" s="726"/>
      <c r="AM21" s="726"/>
      <c r="AN21" s="726"/>
      <c r="AO21" s="726"/>
      <c r="AP21" s="726"/>
      <c r="AQ21" s="726"/>
      <c r="AR21" s="726"/>
      <c r="AS21" s="726"/>
      <c r="AT21" s="726"/>
      <c r="AU21" s="726"/>
      <c r="AV21" s="726"/>
      <c r="AW21" s="726"/>
      <c r="AX21" s="726"/>
      <c r="AY21" s="726"/>
      <c r="AZ21" s="726"/>
      <c r="BA21" s="726"/>
      <c r="BB21" s="726"/>
      <c r="BC21" s="726"/>
      <c r="BD21" s="726"/>
      <c r="BE21" s="726"/>
      <c r="BF21" s="726"/>
      <c r="BG21" s="726"/>
    </row>
    <row r="22" spans="1:59" x14ac:dyDescent="0.25">
      <c r="A22" s="28" t="s">
        <v>588</v>
      </c>
      <c r="B22" s="722">
        <v>8550</v>
      </c>
      <c r="C22" s="725">
        <f t="shared" si="1"/>
        <v>533.75906292603645</v>
      </c>
      <c r="D22" s="747" t="s">
        <v>1452</v>
      </c>
      <c r="E22" s="726"/>
      <c r="F22" s="726"/>
      <c r="G22" s="726"/>
      <c r="H22" s="726"/>
      <c r="I22" s="746" t="s">
        <v>1461</v>
      </c>
      <c r="J22" s="747">
        <v>2.9</v>
      </c>
      <c r="K22" s="726"/>
      <c r="L22" s="726"/>
      <c r="M22" s="726"/>
      <c r="N22" s="726"/>
      <c r="O22" s="726"/>
      <c r="P22" s="726"/>
      <c r="Q22" s="726"/>
      <c r="R22" s="726"/>
      <c r="S22" s="726"/>
      <c r="T22" s="726"/>
      <c r="U22" s="726"/>
      <c r="V22" s="726"/>
      <c r="W22" s="726"/>
      <c r="X22" s="726"/>
      <c r="Y22" s="726"/>
      <c r="Z22" s="726"/>
      <c r="AA22" s="726"/>
      <c r="AB22" s="726"/>
      <c r="AC22" s="726"/>
      <c r="AD22" s="726"/>
      <c r="AE22" s="726"/>
      <c r="AF22" s="726"/>
      <c r="AG22" s="726"/>
      <c r="AH22" s="726"/>
      <c r="AI22" s="726"/>
      <c r="AJ22" s="726"/>
      <c r="AK22" s="726"/>
      <c r="AL22" s="726"/>
      <c r="AM22" s="726"/>
      <c r="AN22" s="726"/>
      <c r="AO22" s="726"/>
      <c r="AP22" s="726"/>
      <c r="AQ22" s="726"/>
      <c r="AR22" s="726"/>
      <c r="AS22" s="726"/>
      <c r="AT22" s="726"/>
      <c r="AU22" s="726"/>
      <c r="AV22" s="726"/>
      <c r="AW22" s="726"/>
      <c r="AX22" s="726"/>
      <c r="AY22" s="726"/>
      <c r="AZ22" s="726"/>
      <c r="BA22" s="726"/>
      <c r="BB22" s="726"/>
      <c r="BC22" s="726"/>
      <c r="BD22" s="726"/>
      <c r="BE22" s="726"/>
      <c r="BF22" s="726"/>
      <c r="BG22" s="726"/>
    </row>
    <row r="23" spans="1:59" x14ac:dyDescent="0.25">
      <c r="A23" s="28" t="s">
        <v>589</v>
      </c>
      <c r="B23" s="722">
        <v>8620</v>
      </c>
      <c r="C23" s="725">
        <f t="shared" si="1"/>
        <v>538.12902016636656</v>
      </c>
      <c r="D23" s="92"/>
      <c r="E23" s="726"/>
      <c r="F23" s="726"/>
      <c r="G23" s="726"/>
      <c r="H23" s="726"/>
      <c r="I23" s="746" t="s">
        <v>754</v>
      </c>
      <c r="J23" s="92">
        <v>17</v>
      </c>
      <c r="K23" s="726"/>
      <c r="L23" s="726"/>
      <c r="M23" s="726"/>
      <c r="N23" s="726"/>
      <c r="O23" s="726"/>
      <c r="P23" s="726"/>
      <c r="Q23" s="726"/>
      <c r="R23" s="726"/>
      <c r="S23" s="726"/>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c r="AT23" s="726"/>
      <c r="AU23" s="726"/>
      <c r="AV23" s="726"/>
      <c r="AW23" s="726"/>
      <c r="AX23" s="726"/>
      <c r="AY23" s="726"/>
      <c r="AZ23" s="726"/>
      <c r="BA23" s="726"/>
      <c r="BB23" s="726"/>
      <c r="BC23" s="726"/>
      <c r="BD23" s="726"/>
      <c r="BE23" s="726"/>
      <c r="BF23" s="726"/>
      <c r="BG23" s="726"/>
    </row>
    <row r="24" spans="1:59" ht="13" customHeight="1" x14ac:dyDescent="0.25">
      <c r="A24" s="28" t="s">
        <v>590</v>
      </c>
      <c r="B24" s="722">
        <v>8200</v>
      </c>
      <c r="C24" s="725">
        <f t="shared" si="1"/>
        <v>511.90927672438573</v>
      </c>
      <c r="D24" s="92"/>
      <c r="E24" s="726"/>
      <c r="F24" s="726"/>
      <c r="G24" s="726"/>
      <c r="H24" s="726"/>
      <c r="I24" s="746" t="s">
        <v>1462</v>
      </c>
      <c r="J24" s="92">
        <v>30</v>
      </c>
      <c r="K24" s="726"/>
      <c r="L24" s="726"/>
      <c r="M24" s="726"/>
      <c r="N24" s="726"/>
      <c r="O24" s="726"/>
      <c r="P24" s="726"/>
      <c r="Q24" s="726"/>
      <c r="R24" s="726"/>
      <c r="S24" s="726"/>
      <c r="T24" s="726"/>
      <c r="U24" s="726"/>
      <c r="V24" s="726"/>
      <c r="W24" s="726"/>
      <c r="X24" s="726"/>
      <c r="Y24" s="726"/>
      <c r="Z24" s="726"/>
      <c r="AA24" s="726"/>
      <c r="AB24" s="726"/>
      <c r="AC24" s="726"/>
      <c r="AD24" s="726"/>
      <c r="AE24" s="726"/>
      <c r="AF24" s="726"/>
      <c r="AG24" s="726"/>
      <c r="AH24" s="726"/>
      <c r="AI24" s="726"/>
      <c r="AJ24" s="726"/>
      <c r="AK24" s="726"/>
      <c r="AL24" s="726"/>
      <c r="AM24" s="726"/>
      <c r="AN24" s="726"/>
      <c r="AO24" s="726"/>
      <c r="AP24" s="726"/>
      <c r="AQ24" s="726"/>
      <c r="AR24" s="726"/>
      <c r="AS24" s="726"/>
      <c r="AT24" s="726"/>
      <c r="AU24" s="726"/>
      <c r="AV24" s="726"/>
      <c r="AW24" s="726"/>
      <c r="AX24" s="726"/>
      <c r="AY24" s="726"/>
      <c r="AZ24" s="726"/>
      <c r="BA24" s="726"/>
      <c r="BB24" s="726"/>
      <c r="BC24" s="726"/>
      <c r="BD24" s="726"/>
      <c r="BE24" s="726"/>
      <c r="BF24" s="726"/>
      <c r="BG24" s="726"/>
    </row>
    <row r="25" spans="1:59" x14ac:dyDescent="0.25">
      <c r="A25" s="28" t="s">
        <v>591</v>
      </c>
      <c r="B25" s="722">
        <v>8850</v>
      </c>
      <c r="C25" s="725">
        <f t="shared" si="1"/>
        <v>552.48745109887977</v>
      </c>
      <c r="D25" s="747">
        <v>116</v>
      </c>
      <c r="E25" s="726"/>
      <c r="F25" s="726"/>
      <c r="G25" s="726"/>
      <c r="H25" s="726"/>
      <c r="I25" s="746" t="s">
        <v>755</v>
      </c>
      <c r="J25" s="92">
        <v>117</v>
      </c>
      <c r="K25" s="726"/>
      <c r="L25" s="726"/>
      <c r="M25" s="726"/>
      <c r="N25" s="726"/>
      <c r="O25" s="726"/>
      <c r="P25" s="726"/>
      <c r="Q25" s="726"/>
      <c r="R25" s="726"/>
      <c r="S25" s="726"/>
      <c r="T25" s="726"/>
      <c r="U25" s="726"/>
      <c r="V25" s="726"/>
      <c r="W25" s="726"/>
      <c r="X25" s="726"/>
      <c r="Y25" s="726"/>
      <c r="Z25" s="726"/>
      <c r="AA25" s="726"/>
      <c r="AB25" s="726"/>
      <c r="AC25" s="726"/>
      <c r="AD25" s="726"/>
      <c r="AE25" s="726"/>
      <c r="AF25" s="726"/>
      <c r="AG25" s="726"/>
      <c r="AH25" s="726"/>
      <c r="AI25" s="726"/>
      <c r="AJ25" s="726"/>
      <c r="AK25" s="726"/>
      <c r="AL25" s="726"/>
      <c r="AM25" s="726"/>
      <c r="AN25" s="726"/>
      <c r="AO25" s="726"/>
      <c r="AP25" s="726"/>
      <c r="AQ25" s="726"/>
      <c r="AR25" s="726"/>
      <c r="AS25" s="726"/>
      <c r="AT25" s="726"/>
      <c r="AU25" s="726"/>
      <c r="AV25" s="726"/>
      <c r="AW25" s="726"/>
      <c r="AX25" s="726"/>
      <c r="AY25" s="726"/>
      <c r="AZ25" s="726"/>
      <c r="BA25" s="726"/>
      <c r="BB25" s="726"/>
      <c r="BC25" s="726"/>
      <c r="BD25" s="726"/>
      <c r="BE25" s="726"/>
      <c r="BF25" s="726"/>
      <c r="BG25" s="726"/>
    </row>
    <row r="26" spans="1:59" x14ac:dyDescent="0.25">
      <c r="A26" s="28" t="s">
        <v>592</v>
      </c>
      <c r="B26" s="722">
        <v>8150</v>
      </c>
      <c r="C26" s="725">
        <f t="shared" si="1"/>
        <v>508.78787869557851</v>
      </c>
      <c r="D26" s="747" t="s">
        <v>1455</v>
      </c>
      <c r="E26" s="726"/>
      <c r="F26" s="726"/>
      <c r="G26" s="726"/>
      <c r="H26" s="726"/>
      <c r="I26" s="746" t="s">
        <v>1463</v>
      </c>
      <c r="J26" s="747">
        <v>1220</v>
      </c>
      <c r="K26" s="726"/>
      <c r="L26" s="726"/>
      <c r="M26" s="726"/>
      <c r="N26" s="726"/>
      <c r="O26" s="726"/>
      <c r="P26" s="726"/>
      <c r="Q26" s="726"/>
      <c r="R26" s="726"/>
      <c r="S26" s="726"/>
      <c r="T26" s="726"/>
      <c r="U26" s="726"/>
      <c r="V26" s="726"/>
      <c r="W26" s="726"/>
      <c r="X26" s="726"/>
      <c r="Y26" s="726"/>
      <c r="Z26" s="726"/>
      <c r="AA26" s="726"/>
      <c r="AB26" s="726"/>
      <c r="AC26" s="726"/>
      <c r="AD26" s="726"/>
      <c r="AE26" s="726"/>
      <c r="AF26" s="726"/>
      <c r="AG26" s="726"/>
      <c r="AH26" s="726"/>
      <c r="AI26" s="726"/>
      <c r="AJ26" s="726"/>
      <c r="AK26" s="726"/>
      <c r="AL26" s="726"/>
      <c r="AM26" s="726"/>
      <c r="AN26" s="726"/>
      <c r="AO26" s="726"/>
      <c r="AP26" s="726"/>
      <c r="AQ26" s="726"/>
      <c r="AR26" s="726"/>
      <c r="AS26" s="726"/>
      <c r="AT26" s="726"/>
      <c r="AU26" s="726"/>
      <c r="AV26" s="726"/>
      <c r="AW26" s="726"/>
      <c r="AX26" s="726"/>
      <c r="AY26" s="726"/>
      <c r="AZ26" s="726"/>
      <c r="BA26" s="726"/>
      <c r="BB26" s="726"/>
      <c r="BC26" s="726"/>
      <c r="BD26" s="726"/>
      <c r="BE26" s="726"/>
      <c r="BF26" s="726"/>
      <c r="BG26" s="726"/>
    </row>
    <row r="27" spans="1:59" x14ac:dyDescent="0.25">
      <c r="A27" s="729" t="s">
        <v>114</v>
      </c>
      <c r="B27" s="730">
        <v>9787</v>
      </c>
      <c r="C27" s="725">
        <f t="shared" si="0"/>
        <v>610.98245015872726</v>
      </c>
      <c r="D27" s="92"/>
      <c r="E27" s="726"/>
      <c r="F27" s="726"/>
      <c r="G27" s="726"/>
      <c r="H27" s="726"/>
      <c r="I27" s="746" t="s">
        <v>1464</v>
      </c>
      <c r="J27" s="747">
        <v>13</v>
      </c>
      <c r="K27" s="726"/>
      <c r="L27" s="726"/>
      <c r="M27" s="726"/>
      <c r="N27" s="726"/>
      <c r="O27" s="726"/>
      <c r="P27" s="726"/>
      <c r="Q27" s="726"/>
      <c r="R27" s="726"/>
      <c r="S27" s="726"/>
      <c r="T27" s="726"/>
      <c r="U27" s="726"/>
      <c r="V27" s="726"/>
      <c r="W27" s="726"/>
      <c r="X27" s="726"/>
      <c r="Y27" s="726"/>
      <c r="Z27" s="726"/>
      <c r="AA27" s="726"/>
      <c r="AB27" s="726"/>
      <c r="AC27" s="726"/>
      <c r="AD27" s="726"/>
      <c r="AE27" s="726"/>
      <c r="AF27" s="726"/>
      <c r="AG27" s="726"/>
      <c r="AH27" s="726"/>
      <c r="AI27" s="726"/>
      <c r="AJ27" s="726"/>
      <c r="AK27" s="726"/>
      <c r="AL27" s="726"/>
      <c r="AM27" s="726"/>
      <c r="AN27" s="726"/>
      <c r="AO27" s="726"/>
      <c r="AP27" s="726"/>
      <c r="AQ27" s="726"/>
      <c r="AR27" s="726"/>
      <c r="AS27" s="726"/>
      <c r="AT27" s="726"/>
      <c r="AU27" s="726"/>
      <c r="AV27" s="726"/>
      <c r="AW27" s="726"/>
      <c r="AX27" s="726"/>
      <c r="AY27" s="726"/>
      <c r="AZ27" s="726"/>
      <c r="BA27" s="726"/>
      <c r="BB27" s="726"/>
    </row>
    <row r="28" spans="1:59" x14ac:dyDescent="0.25">
      <c r="A28" s="727" t="s">
        <v>115</v>
      </c>
      <c r="B28" s="728">
        <v>881</v>
      </c>
      <c r="C28" s="725">
        <f t="shared" si="0"/>
        <v>54.999033267583393</v>
      </c>
      <c r="D28" s="747">
        <v>18</v>
      </c>
      <c r="E28" s="726"/>
      <c r="F28" s="726"/>
      <c r="G28" s="726"/>
      <c r="H28" s="726"/>
      <c r="I28" s="746" t="s">
        <v>1465</v>
      </c>
      <c r="J28" s="747">
        <v>43892</v>
      </c>
      <c r="K28" s="726"/>
      <c r="L28" s="726"/>
      <c r="M28" s="726"/>
      <c r="N28" s="726"/>
      <c r="O28" s="726"/>
      <c r="P28" s="726"/>
      <c r="Q28" s="726"/>
      <c r="R28" s="726"/>
      <c r="S28" s="726"/>
      <c r="T28" s="726"/>
      <c r="U28" s="726"/>
      <c r="V28" s="726"/>
      <c r="W28" s="726"/>
      <c r="X28" s="726"/>
      <c r="Y28" s="726"/>
      <c r="Z28" s="726"/>
      <c r="AA28" s="726"/>
      <c r="AB28" s="726"/>
      <c r="AC28" s="726"/>
      <c r="AD28" s="726"/>
      <c r="AE28" s="726"/>
      <c r="AF28" s="726"/>
      <c r="AG28" s="726"/>
      <c r="AH28" s="726"/>
      <c r="AI28" s="726"/>
      <c r="AJ28" s="726"/>
      <c r="AK28" s="726"/>
      <c r="AL28" s="726"/>
      <c r="AM28" s="726"/>
      <c r="AN28" s="726"/>
      <c r="AO28" s="726"/>
      <c r="AP28" s="726"/>
      <c r="AQ28" s="726"/>
      <c r="AR28" s="726"/>
      <c r="AS28" s="726"/>
      <c r="AT28" s="726"/>
      <c r="AU28" s="726"/>
      <c r="AV28" s="726"/>
      <c r="AW28" s="726"/>
      <c r="AX28" s="726"/>
      <c r="AY28" s="726"/>
      <c r="AZ28" s="726"/>
      <c r="BA28" s="726"/>
      <c r="BB28" s="726"/>
    </row>
    <row r="29" spans="1:59" x14ac:dyDescent="0.25">
      <c r="A29" s="729" t="s">
        <v>116</v>
      </c>
      <c r="B29" s="730">
        <v>849</v>
      </c>
      <c r="C29" s="725">
        <f t="shared" si="0"/>
        <v>53.001338529146764</v>
      </c>
      <c r="D29" s="92"/>
      <c r="E29" s="726"/>
      <c r="F29" s="726"/>
      <c r="G29" s="726"/>
      <c r="H29" s="726"/>
      <c r="I29" s="746" t="s">
        <v>1466</v>
      </c>
      <c r="J29" s="747">
        <v>4</v>
      </c>
      <c r="K29" s="726"/>
      <c r="L29" s="726"/>
      <c r="M29" s="726"/>
      <c r="N29" s="726"/>
      <c r="O29" s="726"/>
      <c r="P29" s="726"/>
      <c r="Q29" s="726"/>
      <c r="R29" s="726"/>
      <c r="S29" s="726"/>
      <c r="T29" s="726"/>
      <c r="U29" s="726"/>
      <c r="V29" s="726"/>
      <c r="W29" s="726"/>
      <c r="X29" s="726"/>
      <c r="Y29" s="726"/>
      <c r="Z29" s="726"/>
      <c r="AA29" s="726"/>
      <c r="AB29" s="726"/>
      <c r="AC29" s="726"/>
      <c r="AD29" s="726"/>
      <c r="AE29" s="726"/>
      <c r="AF29" s="726"/>
      <c r="AG29" s="726"/>
      <c r="AH29" s="726"/>
      <c r="AI29" s="726"/>
      <c r="AJ29" s="726"/>
      <c r="AK29" s="726"/>
      <c r="AL29" s="726"/>
      <c r="AM29" s="726"/>
      <c r="AN29" s="726"/>
      <c r="AO29" s="726"/>
      <c r="AP29" s="726"/>
      <c r="AQ29" s="726"/>
      <c r="AR29" s="726"/>
      <c r="AS29" s="726"/>
      <c r="AT29" s="726"/>
      <c r="AU29" s="726"/>
      <c r="AV29" s="726"/>
      <c r="AW29" s="726"/>
      <c r="AX29" s="726"/>
      <c r="AY29" s="726"/>
      <c r="AZ29" s="726"/>
      <c r="BA29" s="726"/>
      <c r="BB29" s="726"/>
    </row>
    <row r="30" spans="1:59" x14ac:dyDescent="0.25">
      <c r="A30" s="729" t="s">
        <v>117</v>
      </c>
      <c r="B30" s="730">
        <v>2803</v>
      </c>
      <c r="C30" s="725">
        <f t="shared" si="0"/>
        <v>174.98557349493333</v>
      </c>
      <c r="D30" s="92"/>
      <c r="E30" s="726"/>
      <c r="F30" s="726"/>
      <c r="G30" s="726"/>
      <c r="H30" s="726"/>
      <c r="I30" s="746" t="s">
        <v>1467</v>
      </c>
      <c r="J30" s="747">
        <v>58</v>
      </c>
      <c r="K30" s="726"/>
      <c r="L30" s="726"/>
      <c r="M30" s="726"/>
      <c r="N30" s="726"/>
      <c r="O30" s="726"/>
      <c r="P30" s="726"/>
      <c r="Q30" s="726"/>
      <c r="R30" s="726"/>
      <c r="S30" s="726"/>
      <c r="T30" s="726"/>
      <c r="U30" s="726"/>
      <c r="V30" s="726"/>
      <c r="W30" s="726"/>
      <c r="X30" s="726"/>
      <c r="Y30" s="726"/>
      <c r="Z30" s="726"/>
      <c r="AA30" s="726"/>
      <c r="AB30" s="726"/>
      <c r="AC30" s="726"/>
      <c r="AD30" s="726"/>
      <c r="AE30" s="726"/>
      <c r="AF30" s="726"/>
      <c r="AG30" s="726"/>
      <c r="AH30" s="726"/>
      <c r="AI30" s="726"/>
      <c r="AJ30" s="726"/>
      <c r="AK30" s="726"/>
      <c r="AL30" s="726"/>
      <c r="AM30" s="726"/>
      <c r="AN30" s="726"/>
      <c r="AO30" s="726"/>
      <c r="AP30" s="726"/>
      <c r="AQ30" s="726"/>
      <c r="AR30" s="726"/>
      <c r="AS30" s="726"/>
      <c r="AT30" s="726"/>
      <c r="AU30" s="726"/>
      <c r="AV30" s="726"/>
      <c r="AW30" s="726"/>
      <c r="AX30" s="726"/>
      <c r="AY30" s="726"/>
      <c r="AZ30" s="726"/>
      <c r="BA30" s="726"/>
      <c r="BB30" s="726"/>
    </row>
    <row r="31" spans="1:59" x14ac:dyDescent="0.25">
      <c r="A31" s="727" t="s">
        <v>118</v>
      </c>
      <c r="B31" s="728">
        <v>1922</v>
      </c>
      <c r="C31" s="725">
        <f t="shared" si="0"/>
        <v>119.98654022734993</v>
      </c>
      <c r="D31" s="92"/>
      <c r="E31" s="726"/>
      <c r="F31" s="726"/>
      <c r="G31" s="726"/>
      <c r="H31" s="726"/>
      <c r="I31" s="746" t="s">
        <v>385</v>
      </c>
      <c r="J31" s="747" t="s">
        <v>1468</v>
      </c>
      <c r="K31" s="726"/>
      <c r="L31" s="726"/>
      <c r="M31" s="726"/>
      <c r="N31" s="726"/>
      <c r="O31" s="726"/>
      <c r="P31" s="726"/>
      <c r="Q31" s="726"/>
      <c r="R31" s="726"/>
      <c r="S31" s="726"/>
      <c r="T31" s="726"/>
      <c r="U31" s="726"/>
      <c r="V31" s="726"/>
      <c r="W31" s="726"/>
      <c r="X31" s="726"/>
      <c r="Y31" s="726"/>
      <c r="Z31" s="726"/>
      <c r="AA31" s="726"/>
      <c r="AB31" s="726"/>
      <c r="AC31" s="726"/>
      <c r="AD31" s="726"/>
      <c r="AE31" s="726"/>
      <c r="AF31" s="726"/>
      <c r="AG31" s="726"/>
      <c r="AH31" s="726"/>
      <c r="AI31" s="726"/>
      <c r="AJ31" s="726"/>
      <c r="AK31" s="726"/>
      <c r="AL31" s="726"/>
      <c r="AM31" s="726"/>
      <c r="AN31" s="726"/>
      <c r="AO31" s="726"/>
      <c r="AP31" s="726"/>
      <c r="AQ31" s="726"/>
      <c r="AR31" s="726"/>
      <c r="AS31" s="726"/>
      <c r="AT31" s="726"/>
      <c r="AU31" s="726"/>
      <c r="AV31" s="726"/>
      <c r="AW31" s="726"/>
      <c r="AX31" s="726"/>
      <c r="AY31" s="726"/>
      <c r="AZ31" s="726"/>
      <c r="BA31" s="726"/>
      <c r="BB31" s="726"/>
    </row>
    <row r="32" spans="1:59" x14ac:dyDescent="0.25">
      <c r="A32" s="729" t="s">
        <v>119</v>
      </c>
      <c r="B32" s="730">
        <v>2403</v>
      </c>
      <c r="C32" s="725">
        <f t="shared" si="0"/>
        <v>150.01438926447548</v>
      </c>
      <c r="D32" s="92"/>
      <c r="E32" s="726"/>
      <c r="F32" s="726"/>
      <c r="G32" s="726"/>
      <c r="H32" s="726"/>
      <c r="I32" s="746" t="s">
        <v>1469</v>
      </c>
      <c r="J32" s="747">
        <v>17</v>
      </c>
      <c r="K32" s="726"/>
      <c r="L32" s="726"/>
      <c r="M32" s="726"/>
      <c r="N32" s="726"/>
      <c r="O32" s="726"/>
      <c r="P32" s="726"/>
      <c r="Q32" s="726"/>
      <c r="R32" s="726"/>
      <c r="S32" s="726"/>
      <c r="T32" s="726"/>
      <c r="U32" s="726"/>
      <c r="V32" s="726"/>
      <c r="W32" s="726"/>
      <c r="X32" s="726"/>
      <c r="Y32" s="726"/>
      <c r="Z32" s="726"/>
      <c r="AA32" s="726"/>
      <c r="AB32" s="726"/>
      <c r="AC32" s="726"/>
      <c r="AD32" s="726"/>
      <c r="AE32" s="726"/>
      <c r="AF32" s="726"/>
      <c r="AG32" s="726"/>
      <c r="AH32" s="726"/>
      <c r="AI32" s="726"/>
      <c r="AJ32" s="726"/>
      <c r="AK32" s="726"/>
      <c r="AL32" s="726"/>
      <c r="AM32" s="726"/>
      <c r="AN32" s="726"/>
      <c r="AO32" s="726"/>
      <c r="AP32" s="726"/>
      <c r="AQ32" s="726"/>
      <c r="AR32" s="726"/>
      <c r="AS32" s="726"/>
      <c r="AT32" s="726"/>
      <c r="AU32" s="726"/>
      <c r="AV32" s="726"/>
      <c r="AW32" s="726"/>
      <c r="AX32" s="726"/>
      <c r="AY32" s="726"/>
      <c r="AZ32" s="726"/>
      <c r="BA32" s="726"/>
      <c r="BB32" s="726"/>
    </row>
    <row r="33" spans="1:59" x14ac:dyDescent="0.25">
      <c r="A33" s="727" t="s">
        <v>120</v>
      </c>
      <c r="B33" s="728">
        <v>2563</v>
      </c>
      <c r="C33" s="725">
        <f t="shared" si="0"/>
        <v>160.00286295665862</v>
      </c>
      <c r="D33" s="92"/>
      <c r="E33" s="726"/>
      <c r="F33" s="726"/>
      <c r="G33" s="726"/>
      <c r="H33" s="726"/>
      <c r="I33" s="746" t="s">
        <v>756</v>
      </c>
      <c r="J33" s="747" t="s">
        <v>1470</v>
      </c>
      <c r="K33" s="726"/>
      <c r="L33" s="726"/>
      <c r="M33" s="726"/>
      <c r="N33" s="726"/>
      <c r="O33" s="726"/>
      <c r="P33" s="726"/>
      <c r="Q33" s="726"/>
      <c r="R33" s="726"/>
      <c r="S33" s="726"/>
      <c r="T33" s="726"/>
      <c r="U33" s="726"/>
      <c r="V33" s="726"/>
      <c r="W33" s="726"/>
      <c r="X33" s="726"/>
      <c r="Y33" s="726"/>
      <c r="Z33" s="726"/>
      <c r="AA33" s="726"/>
      <c r="AB33" s="726"/>
      <c r="AC33" s="726"/>
      <c r="AD33" s="726"/>
      <c r="AE33" s="726"/>
      <c r="AF33" s="726"/>
      <c r="AG33" s="726"/>
      <c r="AH33" s="726"/>
      <c r="AI33" s="726"/>
      <c r="AJ33" s="726"/>
      <c r="AK33" s="726"/>
      <c r="AL33" s="726"/>
      <c r="AM33" s="726"/>
      <c r="AN33" s="726"/>
      <c r="AO33" s="726"/>
      <c r="AP33" s="726"/>
      <c r="AQ33" s="726"/>
      <c r="AR33" s="726"/>
      <c r="AS33" s="726"/>
      <c r="AT33" s="726"/>
      <c r="AU33" s="726"/>
      <c r="AV33" s="726"/>
      <c r="AW33" s="726"/>
      <c r="AX33" s="726"/>
      <c r="AY33" s="726"/>
      <c r="AZ33" s="726"/>
      <c r="BA33" s="726"/>
      <c r="BB33" s="726"/>
    </row>
    <row r="34" spans="1:59" x14ac:dyDescent="0.25">
      <c r="A34" s="727" t="s">
        <v>121</v>
      </c>
      <c r="B34" s="728">
        <v>2050</v>
      </c>
      <c r="C34" s="725">
        <f t="shared" si="0"/>
        <v>127.97731918109643</v>
      </c>
      <c r="D34" s="92"/>
      <c r="E34" s="726"/>
      <c r="F34" s="726"/>
      <c r="G34" s="726"/>
      <c r="H34" s="726"/>
      <c r="I34" s="746" t="s">
        <v>757</v>
      </c>
      <c r="J34" s="92">
        <v>52</v>
      </c>
      <c r="K34" s="726"/>
      <c r="L34" s="726"/>
      <c r="M34" s="726"/>
      <c r="N34" s="726"/>
      <c r="O34" s="726"/>
      <c r="P34" s="726"/>
      <c r="Q34" s="726"/>
      <c r="R34" s="726"/>
      <c r="S34" s="726"/>
      <c r="T34" s="726"/>
      <c r="U34" s="726"/>
      <c r="V34" s="726"/>
      <c r="W34" s="726"/>
      <c r="X34" s="726"/>
      <c r="Y34" s="726"/>
      <c r="Z34" s="726"/>
      <c r="AA34" s="726"/>
      <c r="AB34" s="726"/>
      <c r="AC34" s="726"/>
      <c r="AD34" s="726"/>
      <c r="AE34" s="726"/>
      <c r="AF34" s="726"/>
      <c r="AG34" s="726"/>
      <c r="AH34" s="726"/>
      <c r="AI34" s="726"/>
      <c r="AJ34" s="726"/>
      <c r="AK34" s="726"/>
      <c r="AL34" s="726"/>
      <c r="AM34" s="726"/>
      <c r="AN34" s="726"/>
      <c r="AO34" s="726"/>
      <c r="AP34" s="726"/>
      <c r="AQ34" s="726"/>
      <c r="AR34" s="726"/>
      <c r="AS34" s="726"/>
      <c r="AT34" s="726"/>
      <c r="AU34" s="726"/>
      <c r="AV34" s="726"/>
      <c r="AW34" s="726"/>
      <c r="AX34" s="726"/>
      <c r="AY34" s="726"/>
      <c r="AZ34" s="726"/>
      <c r="BA34" s="726"/>
      <c r="BB34" s="726"/>
    </row>
    <row r="35" spans="1:59" x14ac:dyDescent="0.25">
      <c r="A35" s="729" t="s">
        <v>122</v>
      </c>
      <c r="B35" s="730">
        <v>8650</v>
      </c>
      <c r="C35" s="725">
        <f t="shared" si="0"/>
        <v>540.00185898365078</v>
      </c>
      <c r="D35" s="92"/>
      <c r="E35" s="726"/>
      <c r="F35" s="726"/>
      <c r="G35" s="726"/>
      <c r="H35" s="726"/>
      <c r="I35" s="746" t="s">
        <v>1471</v>
      </c>
      <c r="J35" s="747">
        <v>1000</v>
      </c>
      <c r="K35" s="726"/>
      <c r="L35" s="726"/>
      <c r="M35" s="726"/>
      <c r="N35" s="726"/>
      <c r="O35" s="726"/>
      <c r="P35" s="726"/>
      <c r="Q35" s="726"/>
      <c r="R35" s="726"/>
      <c r="S35" s="726"/>
      <c r="T35" s="726"/>
      <c r="U35" s="726"/>
      <c r="V35" s="726"/>
      <c r="W35" s="726"/>
      <c r="X35" s="726"/>
      <c r="Y35" s="726"/>
      <c r="Z35" s="726"/>
      <c r="AA35" s="726"/>
      <c r="AB35" s="726"/>
      <c r="AC35" s="726"/>
      <c r="AD35" s="726"/>
      <c r="AE35" s="726"/>
      <c r="AF35" s="726"/>
      <c r="AG35" s="726"/>
      <c r="AH35" s="726"/>
      <c r="AI35" s="726"/>
      <c r="AJ35" s="726"/>
      <c r="AK35" s="726"/>
      <c r="AL35" s="726"/>
      <c r="AM35" s="726"/>
      <c r="AN35" s="726"/>
      <c r="AO35" s="726"/>
      <c r="AP35" s="726"/>
      <c r="AQ35" s="726"/>
      <c r="AR35" s="726"/>
      <c r="AS35" s="726"/>
      <c r="AT35" s="726"/>
      <c r="AU35" s="726"/>
      <c r="AV35" s="726"/>
      <c r="AW35" s="726"/>
      <c r="AX35" s="726"/>
      <c r="AY35" s="726"/>
      <c r="AZ35" s="726"/>
      <c r="BA35" s="726"/>
      <c r="BB35" s="726"/>
    </row>
    <row r="36" spans="1:59" x14ac:dyDescent="0.25">
      <c r="A36" s="727" t="s">
        <v>123</v>
      </c>
      <c r="B36" s="728">
        <v>1201</v>
      </c>
      <c r="C36" s="725">
        <f t="shared" si="0"/>
        <v>74.975980651949669</v>
      </c>
      <c r="D36" s="92"/>
      <c r="E36" s="726"/>
      <c r="F36" s="726"/>
      <c r="G36" s="726"/>
      <c r="H36" s="726"/>
      <c r="I36" s="746" t="s">
        <v>1472</v>
      </c>
      <c r="J36" s="92">
        <v>210</v>
      </c>
      <c r="K36" s="726"/>
      <c r="L36" s="726"/>
      <c r="M36" s="726"/>
      <c r="N36" s="726"/>
      <c r="O36" s="726"/>
      <c r="P36" s="726"/>
      <c r="Q36" s="726"/>
      <c r="R36" s="726"/>
      <c r="S36" s="726"/>
      <c r="T36" s="726"/>
      <c r="U36" s="726"/>
      <c r="V36" s="726"/>
      <c r="W36" s="726"/>
      <c r="X36" s="726"/>
      <c r="Y36" s="726"/>
      <c r="Z36" s="726"/>
      <c r="AA36" s="726"/>
      <c r="AB36" s="726"/>
      <c r="AC36" s="726"/>
      <c r="AD36" s="726"/>
      <c r="AE36" s="726"/>
      <c r="AF36" s="726"/>
      <c r="AG36" s="726"/>
      <c r="AH36" s="726"/>
      <c r="AI36" s="726"/>
      <c r="AJ36" s="726"/>
      <c r="AK36" s="726"/>
      <c r="AL36" s="726"/>
      <c r="AM36" s="726"/>
      <c r="AN36" s="726"/>
      <c r="AO36" s="726"/>
      <c r="AP36" s="726"/>
      <c r="AQ36" s="726"/>
      <c r="AR36" s="726"/>
      <c r="AS36" s="726"/>
      <c r="AT36" s="726"/>
      <c r="AU36" s="726"/>
      <c r="AV36" s="726"/>
      <c r="AW36" s="726"/>
      <c r="AX36" s="726"/>
      <c r="AY36" s="726"/>
      <c r="AZ36" s="726"/>
      <c r="BA36" s="726"/>
      <c r="BB36" s="726"/>
    </row>
    <row r="37" spans="1:59" x14ac:dyDescent="0.25">
      <c r="A37" s="28" t="s">
        <v>593</v>
      </c>
      <c r="B37" s="722">
        <v>7300</v>
      </c>
      <c r="C37" s="725">
        <f>(B37*(2.20462262184877))/35.3146667214885</f>
        <v>455.72411220585565</v>
      </c>
      <c r="D37" s="747">
        <v>130</v>
      </c>
      <c r="E37" s="726"/>
      <c r="F37" s="726"/>
      <c r="G37" s="726"/>
      <c r="H37" s="726"/>
      <c r="I37" s="746" t="s">
        <v>1473</v>
      </c>
      <c r="J37" s="747">
        <v>35</v>
      </c>
      <c r="K37" s="726"/>
      <c r="L37" s="726"/>
      <c r="M37" s="726"/>
      <c r="N37" s="726"/>
      <c r="O37" s="726"/>
      <c r="P37" s="726"/>
      <c r="Q37" s="726"/>
      <c r="R37" s="726"/>
      <c r="S37" s="726"/>
      <c r="T37" s="726"/>
      <c r="U37" s="726"/>
      <c r="V37" s="726"/>
      <c r="W37" s="726"/>
      <c r="X37" s="726"/>
      <c r="Y37" s="726"/>
      <c r="Z37" s="726"/>
      <c r="AA37" s="726"/>
      <c r="AB37" s="726"/>
      <c r="AC37" s="726"/>
      <c r="AD37" s="726"/>
      <c r="AE37" s="726"/>
      <c r="AF37" s="726"/>
      <c r="AG37" s="726"/>
      <c r="AH37" s="726"/>
      <c r="AI37" s="726"/>
      <c r="AJ37" s="726"/>
      <c r="AK37" s="726"/>
      <c r="AL37" s="726"/>
      <c r="AM37" s="726"/>
      <c r="AN37" s="726"/>
      <c r="AO37" s="726"/>
      <c r="AP37" s="726"/>
      <c r="AQ37" s="726"/>
      <c r="AR37" s="726"/>
      <c r="AS37" s="726"/>
      <c r="AT37" s="726"/>
      <c r="AU37" s="726"/>
      <c r="AV37" s="726"/>
      <c r="AW37" s="726"/>
      <c r="AX37" s="726"/>
      <c r="AY37" s="726"/>
      <c r="AZ37" s="726"/>
      <c r="BA37" s="726"/>
      <c r="BB37" s="726"/>
      <c r="BC37" s="726"/>
      <c r="BD37" s="726"/>
      <c r="BE37" s="726"/>
      <c r="BF37" s="726"/>
      <c r="BG37" s="726"/>
    </row>
    <row r="38" spans="1:59" x14ac:dyDescent="0.25">
      <c r="A38" s="28" t="s">
        <v>594</v>
      </c>
      <c r="B38" s="722">
        <v>8746</v>
      </c>
      <c r="C38" s="725">
        <f>(B38*(2.20462262184877))/35.3146667214885</f>
        <v>545.99494319896075</v>
      </c>
      <c r="D38" s="92"/>
      <c r="E38" s="726"/>
      <c r="F38" s="726"/>
      <c r="G38" s="726"/>
      <c r="H38" s="726"/>
      <c r="I38" s="746" t="s">
        <v>758</v>
      </c>
      <c r="J38" s="747" t="s">
        <v>1474</v>
      </c>
      <c r="K38" s="726"/>
      <c r="L38" s="726"/>
      <c r="M38" s="726"/>
      <c r="N38" s="726"/>
      <c r="O38" s="726"/>
      <c r="P38" s="726"/>
      <c r="Q38" s="726"/>
      <c r="R38" s="726"/>
      <c r="S38" s="726"/>
      <c r="T38" s="726"/>
      <c r="U38" s="726"/>
      <c r="V38" s="726"/>
      <c r="W38" s="726"/>
      <c r="X38" s="726"/>
      <c r="Y38" s="726"/>
      <c r="Z38" s="726"/>
      <c r="AA38" s="726"/>
      <c r="AB38" s="726"/>
      <c r="AC38" s="726"/>
      <c r="AD38" s="726"/>
      <c r="AE38" s="726"/>
      <c r="AF38" s="726"/>
      <c r="AG38" s="726"/>
      <c r="AH38" s="726"/>
      <c r="AI38" s="726"/>
      <c r="AJ38" s="726"/>
      <c r="AK38" s="726"/>
      <c r="AL38" s="726"/>
      <c r="AM38" s="726"/>
      <c r="AN38" s="726"/>
      <c r="AO38" s="726"/>
      <c r="AP38" s="726"/>
      <c r="AQ38" s="726"/>
      <c r="AR38" s="726"/>
      <c r="AS38" s="726"/>
      <c r="AT38" s="726"/>
      <c r="AU38" s="726"/>
      <c r="AV38" s="726"/>
      <c r="AW38" s="726"/>
      <c r="AX38" s="726"/>
      <c r="AY38" s="726"/>
      <c r="AZ38" s="726"/>
      <c r="BA38" s="726"/>
      <c r="BB38" s="726"/>
      <c r="BC38" s="726"/>
      <c r="BD38" s="726"/>
      <c r="BE38" s="726"/>
      <c r="BF38" s="726"/>
      <c r="BG38" s="726"/>
    </row>
    <row r="39" spans="1:59" x14ac:dyDescent="0.25">
      <c r="A39" s="28" t="s">
        <v>595</v>
      </c>
      <c r="B39" s="722">
        <v>8930</v>
      </c>
      <c r="C39" s="725">
        <f>(B39*(2.20462262184877))/35.3146667214885</f>
        <v>557.48168794497133</v>
      </c>
      <c r="D39" s="92"/>
      <c r="E39" s="726"/>
      <c r="F39" s="726"/>
      <c r="G39" s="726"/>
      <c r="H39" s="726"/>
      <c r="I39" s="746" t="s">
        <v>1475</v>
      </c>
      <c r="J39" s="92">
        <v>45</v>
      </c>
      <c r="K39" s="726"/>
      <c r="L39" s="726"/>
      <c r="M39" s="726"/>
      <c r="N39" s="726"/>
      <c r="O39" s="726"/>
      <c r="P39" s="726"/>
      <c r="Q39" s="726"/>
      <c r="R39" s="726"/>
      <c r="S39" s="726"/>
      <c r="T39" s="726"/>
      <c r="U39" s="726"/>
      <c r="V39" s="726"/>
      <c r="W39" s="726"/>
      <c r="X39" s="726"/>
      <c r="Y39" s="726"/>
      <c r="Z39" s="726"/>
      <c r="AA39" s="726"/>
      <c r="AB39" s="726"/>
      <c r="AC39" s="726"/>
      <c r="AD39" s="726"/>
      <c r="AE39" s="726"/>
      <c r="AF39" s="726"/>
      <c r="AG39" s="726"/>
      <c r="AH39" s="726"/>
      <c r="AI39" s="726"/>
      <c r="AJ39" s="726"/>
      <c r="AK39" s="726"/>
      <c r="AL39" s="726"/>
      <c r="AM39" s="726"/>
      <c r="AN39" s="726"/>
      <c r="AO39" s="726"/>
      <c r="AP39" s="726"/>
      <c r="AQ39" s="726"/>
      <c r="AR39" s="726"/>
      <c r="AS39" s="726"/>
      <c r="AT39" s="726"/>
      <c r="AU39" s="726"/>
      <c r="AV39" s="726"/>
      <c r="AW39" s="726"/>
      <c r="AX39" s="726"/>
      <c r="AY39" s="726"/>
      <c r="AZ39" s="726"/>
      <c r="BA39" s="726"/>
      <c r="BB39" s="726"/>
      <c r="BC39" s="726"/>
      <c r="BD39" s="726"/>
      <c r="BE39" s="726"/>
      <c r="BF39" s="726"/>
      <c r="BG39" s="726"/>
    </row>
    <row r="40" spans="1:59" ht="13" customHeight="1" x14ac:dyDescent="0.25">
      <c r="A40" s="729" t="s">
        <v>124</v>
      </c>
      <c r="B40" s="730">
        <v>1442</v>
      </c>
      <c r="C40" s="725">
        <f t="shared" si="0"/>
        <v>90.02111915080053</v>
      </c>
      <c r="D40" s="92"/>
      <c r="E40" s="726"/>
      <c r="F40" s="726"/>
      <c r="G40" s="726"/>
      <c r="H40" s="726"/>
      <c r="I40" s="746" t="s">
        <v>1476</v>
      </c>
      <c r="J40" s="747">
        <v>4</v>
      </c>
      <c r="K40" s="726"/>
      <c r="L40" s="726"/>
      <c r="M40" s="726"/>
      <c r="N40" s="726"/>
      <c r="O40" s="726"/>
      <c r="P40" s="726"/>
      <c r="Q40" s="726"/>
      <c r="R40" s="726"/>
      <c r="S40" s="726"/>
      <c r="T40" s="726"/>
      <c r="U40" s="726"/>
      <c r="V40" s="726"/>
      <c r="W40" s="726"/>
      <c r="X40" s="726"/>
      <c r="Y40" s="726"/>
      <c r="Z40" s="726"/>
      <c r="AA40" s="726"/>
      <c r="AB40" s="726"/>
      <c r="AC40" s="726"/>
      <c r="AD40" s="726"/>
      <c r="AE40" s="726"/>
      <c r="AF40" s="726"/>
      <c r="AG40" s="726"/>
      <c r="AH40" s="726"/>
      <c r="AI40" s="726"/>
      <c r="AJ40" s="726"/>
      <c r="AK40" s="726"/>
      <c r="AL40" s="726"/>
      <c r="AM40" s="726"/>
      <c r="AN40" s="726"/>
      <c r="AO40" s="726"/>
      <c r="AP40" s="726"/>
      <c r="AQ40" s="726"/>
      <c r="AR40" s="726"/>
      <c r="AS40" s="726"/>
      <c r="AT40" s="726"/>
      <c r="AU40" s="726"/>
      <c r="AV40" s="726"/>
      <c r="AW40" s="726"/>
      <c r="AX40" s="726"/>
      <c r="AY40" s="726"/>
      <c r="AZ40" s="726"/>
      <c r="BA40" s="726"/>
      <c r="BB40" s="726"/>
    </row>
    <row r="41" spans="1:59" x14ac:dyDescent="0.25">
      <c r="A41" s="729" t="s">
        <v>125</v>
      </c>
      <c r="B41" s="730">
        <v>80</v>
      </c>
      <c r="C41" s="725">
        <f t="shared" si="0"/>
        <v>4.9942368460915683</v>
      </c>
      <c r="D41" s="92"/>
      <c r="E41" s="726"/>
      <c r="F41" s="726"/>
      <c r="G41" s="726"/>
      <c r="H41" s="726"/>
      <c r="I41" s="746" t="s">
        <v>1477</v>
      </c>
      <c r="J41" s="747" t="s">
        <v>1478</v>
      </c>
      <c r="K41" s="726"/>
      <c r="L41" s="726"/>
      <c r="M41" s="726"/>
      <c r="N41" s="726"/>
      <c r="O41" s="726"/>
      <c r="P41" s="726"/>
      <c r="Q41" s="726"/>
      <c r="R41" s="726"/>
      <c r="S41" s="726"/>
      <c r="T41" s="726"/>
      <c r="U41" s="726"/>
      <c r="V41" s="726"/>
      <c r="W41" s="726"/>
      <c r="X41" s="726"/>
      <c r="Y41" s="726"/>
      <c r="Z41" s="726"/>
      <c r="AA41" s="726"/>
      <c r="AB41" s="726"/>
      <c r="AC41" s="726"/>
      <c r="AD41" s="726"/>
      <c r="AE41" s="726"/>
      <c r="AF41" s="726"/>
      <c r="AG41" s="726"/>
      <c r="AH41" s="726"/>
      <c r="AI41" s="726"/>
      <c r="AJ41" s="726"/>
      <c r="AK41" s="726"/>
      <c r="AL41" s="726"/>
      <c r="AM41" s="726"/>
      <c r="AN41" s="726"/>
      <c r="AO41" s="726"/>
      <c r="AP41" s="726"/>
      <c r="AQ41" s="726"/>
      <c r="AR41" s="726"/>
      <c r="AS41" s="726"/>
      <c r="AT41" s="726"/>
      <c r="AU41" s="726"/>
      <c r="AV41" s="726"/>
      <c r="AW41" s="726"/>
      <c r="AX41" s="726"/>
      <c r="AY41" s="726"/>
      <c r="AZ41" s="726"/>
      <c r="BA41" s="726"/>
      <c r="BB41" s="726"/>
    </row>
    <row r="42" spans="1:59" x14ac:dyDescent="0.25">
      <c r="A42" s="727" t="s">
        <v>126</v>
      </c>
      <c r="B42" s="728">
        <v>2146</v>
      </c>
      <c r="C42" s="725">
        <f t="shared" si="0"/>
        <v>133.97040339640631</v>
      </c>
      <c r="D42" s="92"/>
      <c r="E42" s="726"/>
      <c r="F42" s="726"/>
      <c r="G42" s="726"/>
      <c r="H42" s="726"/>
      <c r="I42" s="746" t="s">
        <v>1479</v>
      </c>
      <c r="J42" s="92">
        <v>170</v>
      </c>
      <c r="K42" s="726"/>
      <c r="L42" s="726"/>
      <c r="M42" s="726"/>
      <c r="N42" s="726"/>
      <c r="O42" s="726"/>
      <c r="P42" s="726"/>
      <c r="Q42" s="726"/>
      <c r="R42" s="726"/>
      <c r="S42" s="726"/>
      <c r="T42" s="726"/>
      <c r="U42" s="726"/>
      <c r="V42" s="726"/>
      <c r="W42" s="726"/>
      <c r="X42" s="726"/>
      <c r="Y42" s="726"/>
      <c r="Z42" s="726"/>
      <c r="AA42" s="726"/>
      <c r="AB42" s="726"/>
      <c r="AC42" s="726"/>
      <c r="AD42" s="726"/>
      <c r="AE42" s="726"/>
      <c r="AF42" s="726"/>
      <c r="AG42" s="726"/>
      <c r="AH42" s="726"/>
      <c r="AI42" s="726"/>
      <c r="AJ42" s="726"/>
      <c r="AK42" s="726"/>
      <c r="AL42" s="726"/>
      <c r="AM42" s="726"/>
      <c r="AN42" s="726"/>
      <c r="AO42" s="726"/>
      <c r="AP42" s="726"/>
      <c r="AQ42" s="726"/>
      <c r="AR42" s="726"/>
      <c r="AS42" s="726"/>
      <c r="AT42" s="726"/>
      <c r="AU42" s="726"/>
      <c r="AV42" s="726"/>
      <c r="AW42" s="726"/>
      <c r="AX42" s="726"/>
      <c r="AY42" s="726"/>
      <c r="AZ42" s="726"/>
      <c r="BA42" s="726"/>
      <c r="BB42" s="726"/>
    </row>
    <row r="43" spans="1:59" x14ac:dyDescent="0.25">
      <c r="A43" s="727" t="s">
        <v>127</v>
      </c>
      <c r="B43" s="728">
        <v>689</v>
      </c>
      <c r="C43" s="725">
        <f t="shared" si="0"/>
        <v>43.012864836963637</v>
      </c>
      <c r="D43" s="92"/>
      <c r="E43" s="726"/>
      <c r="F43" s="726"/>
      <c r="G43" s="726"/>
      <c r="H43" s="726"/>
      <c r="I43" s="746" t="s">
        <v>1481</v>
      </c>
      <c r="J43" s="747">
        <v>43865</v>
      </c>
      <c r="K43" s="726"/>
      <c r="L43" s="726"/>
      <c r="M43" s="726"/>
      <c r="N43" s="726"/>
      <c r="O43" s="726"/>
      <c r="P43" s="726"/>
      <c r="Q43" s="726"/>
      <c r="R43" s="726"/>
      <c r="S43" s="726"/>
      <c r="T43" s="726"/>
      <c r="U43" s="726"/>
      <c r="V43" s="726"/>
      <c r="W43" s="726"/>
      <c r="X43" s="726"/>
      <c r="Y43" s="726"/>
      <c r="Z43" s="726"/>
      <c r="AA43" s="726"/>
      <c r="AB43" s="726"/>
      <c r="AC43" s="726"/>
      <c r="AD43" s="726"/>
      <c r="AE43" s="726"/>
      <c r="AF43" s="726"/>
      <c r="AG43" s="726"/>
      <c r="AH43" s="726"/>
      <c r="AI43" s="726"/>
      <c r="AJ43" s="726"/>
      <c r="AK43" s="726"/>
      <c r="AL43" s="726"/>
      <c r="AM43" s="726"/>
      <c r="AN43" s="726"/>
      <c r="AO43" s="726"/>
      <c r="AP43" s="726"/>
      <c r="AQ43" s="726"/>
      <c r="AR43" s="726"/>
      <c r="AS43" s="726"/>
      <c r="AT43" s="726"/>
      <c r="AU43" s="726"/>
      <c r="AV43" s="726"/>
      <c r="AW43" s="726"/>
      <c r="AX43" s="726"/>
      <c r="AY43" s="726"/>
      <c r="AZ43" s="726"/>
      <c r="BA43" s="726"/>
      <c r="BB43" s="726"/>
      <c r="BC43" s="726"/>
      <c r="BD43" s="726"/>
      <c r="BE43" s="726"/>
      <c r="BF43" s="726"/>
      <c r="BG43" s="726"/>
    </row>
    <row r="44" spans="1:59" x14ac:dyDescent="0.25">
      <c r="A44" s="727" t="s">
        <v>128</v>
      </c>
      <c r="B44" s="728">
        <v>1440</v>
      </c>
      <c r="C44" s="725">
        <f t="shared" si="0"/>
        <v>89.896263229648241</v>
      </c>
      <c r="D44" s="92"/>
      <c r="E44" s="726"/>
      <c r="F44" s="726"/>
      <c r="G44" s="726"/>
      <c r="H44" s="726"/>
      <c r="I44" s="746" t="s">
        <v>1482</v>
      </c>
      <c r="J44" s="747">
        <v>11</v>
      </c>
      <c r="K44" s="726"/>
      <c r="L44" s="726"/>
      <c r="M44" s="726"/>
      <c r="N44" s="726"/>
      <c r="O44" s="726"/>
      <c r="P44" s="726"/>
      <c r="Q44" s="726"/>
      <c r="R44" s="726"/>
      <c r="S44" s="726"/>
      <c r="T44" s="726"/>
      <c r="U44" s="726"/>
      <c r="V44" s="726"/>
      <c r="W44" s="726"/>
      <c r="X44" s="726"/>
      <c r="Y44" s="726"/>
      <c r="Z44" s="726"/>
      <c r="AA44" s="726"/>
      <c r="AB44" s="726"/>
      <c r="AC44" s="726"/>
      <c r="AD44" s="726"/>
      <c r="AE44" s="726"/>
      <c r="AF44" s="726"/>
      <c r="AG44" s="726"/>
      <c r="AH44" s="726"/>
      <c r="AI44" s="726"/>
      <c r="AJ44" s="726"/>
      <c r="AK44" s="726"/>
      <c r="AL44" s="726"/>
      <c r="AM44" s="726"/>
      <c r="AN44" s="726"/>
      <c r="AO44" s="726"/>
      <c r="AP44" s="726"/>
      <c r="AQ44" s="726"/>
      <c r="AR44" s="726"/>
      <c r="AS44" s="726"/>
      <c r="AT44" s="726"/>
      <c r="AU44" s="726"/>
      <c r="AV44" s="726"/>
      <c r="AW44" s="726"/>
      <c r="AX44" s="726"/>
      <c r="AY44" s="726"/>
      <c r="AZ44" s="726"/>
      <c r="BA44" s="726"/>
      <c r="BB44" s="726"/>
      <c r="BC44" s="726"/>
      <c r="BD44" s="726"/>
      <c r="BE44" s="726"/>
      <c r="BF44" s="726"/>
      <c r="BG44" s="726"/>
    </row>
    <row r="45" spans="1:59" x14ac:dyDescent="0.25">
      <c r="A45" s="731" t="s">
        <v>373</v>
      </c>
      <c r="B45" s="732">
        <v>2499</v>
      </c>
      <c r="C45" s="725">
        <f t="shared" si="0"/>
        <v>156.00747347978538</v>
      </c>
      <c r="D45" s="747">
        <v>30</v>
      </c>
      <c r="E45" s="726"/>
      <c r="F45" s="726"/>
      <c r="G45" s="726"/>
      <c r="H45" s="726"/>
      <c r="I45" s="746" t="s">
        <v>1483</v>
      </c>
      <c r="J45" s="747" t="s">
        <v>1484</v>
      </c>
      <c r="K45" s="726"/>
      <c r="L45" s="726"/>
      <c r="M45" s="726"/>
      <c r="N45" s="726"/>
      <c r="O45" s="726"/>
      <c r="P45" s="726"/>
      <c r="Q45" s="726"/>
      <c r="R45" s="726"/>
      <c r="S45" s="726"/>
      <c r="T45" s="726"/>
      <c r="U45" s="726"/>
      <c r="V45" s="726"/>
      <c r="W45" s="726"/>
      <c r="X45" s="726"/>
      <c r="Y45" s="726"/>
      <c r="Z45" s="726"/>
      <c r="AA45" s="726"/>
      <c r="AB45" s="726"/>
      <c r="AC45" s="726"/>
      <c r="AD45" s="726"/>
      <c r="AE45" s="726"/>
      <c r="AF45" s="726"/>
      <c r="AG45" s="726"/>
      <c r="AH45" s="726"/>
      <c r="AI45" s="726"/>
      <c r="AJ45" s="726"/>
      <c r="AK45" s="726"/>
      <c r="AL45" s="726"/>
      <c r="AM45" s="726"/>
      <c r="AN45" s="726"/>
      <c r="AO45" s="726"/>
      <c r="AP45" s="726"/>
      <c r="AQ45" s="726"/>
      <c r="AR45" s="726"/>
      <c r="AS45" s="726"/>
      <c r="AT45" s="726"/>
      <c r="AU45" s="726"/>
      <c r="AV45" s="726"/>
      <c r="AW45" s="726"/>
      <c r="AX45" s="726"/>
      <c r="AY45" s="726"/>
      <c r="AZ45" s="726"/>
      <c r="BA45" s="726"/>
      <c r="BB45" s="726"/>
      <c r="BC45" s="726"/>
      <c r="BD45" s="726"/>
      <c r="BE45" s="726"/>
      <c r="BF45" s="726"/>
      <c r="BG45" s="726"/>
    </row>
    <row r="46" spans="1:59" x14ac:dyDescent="0.25">
      <c r="A46" s="729" t="s">
        <v>129</v>
      </c>
      <c r="B46" s="730">
        <v>2162</v>
      </c>
      <c r="C46" s="725">
        <f t="shared" si="0"/>
        <v>134.96925076562465</v>
      </c>
      <c r="D46" s="747">
        <v>17</v>
      </c>
      <c r="E46" s="726"/>
      <c r="F46" s="726"/>
      <c r="G46" s="726"/>
      <c r="H46" s="726"/>
      <c r="I46" s="746" t="s">
        <v>1485</v>
      </c>
      <c r="J46" s="92">
        <v>116</v>
      </c>
      <c r="K46" s="726"/>
      <c r="L46" s="726"/>
      <c r="M46" s="726"/>
      <c r="N46" s="726"/>
      <c r="O46" s="726"/>
      <c r="P46" s="726"/>
      <c r="Q46" s="726"/>
      <c r="R46" s="726"/>
      <c r="S46" s="726"/>
      <c r="T46" s="726"/>
      <c r="U46" s="726"/>
      <c r="V46" s="726"/>
      <c r="W46" s="726"/>
      <c r="X46" s="726"/>
      <c r="Y46" s="726"/>
      <c r="Z46" s="726"/>
      <c r="AA46" s="726"/>
      <c r="AB46" s="726"/>
      <c r="AC46" s="726"/>
      <c r="AD46" s="726"/>
      <c r="AE46" s="726"/>
      <c r="AF46" s="726"/>
      <c r="AG46" s="726"/>
      <c r="AH46" s="726"/>
      <c r="AI46" s="726"/>
      <c r="AJ46" s="726"/>
      <c r="AK46" s="726"/>
      <c r="AL46" s="726"/>
      <c r="AM46" s="726"/>
      <c r="AN46" s="726"/>
      <c r="AO46" s="726"/>
      <c r="AP46" s="726"/>
      <c r="AQ46" s="726"/>
      <c r="AR46" s="726"/>
      <c r="AS46" s="726"/>
      <c r="AT46" s="726"/>
      <c r="AU46" s="726"/>
      <c r="AV46" s="726"/>
      <c r="AW46" s="726"/>
      <c r="AX46" s="726"/>
      <c r="AY46" s="726"/>
      <c r="AZ46" s="726"/>
      <c r="BA46" s="726"/>
      <c r="BB46" s="726"/>
      <c r="BC46" s="726"/>
      <c r="BD46" s="726"/>
      <c r="BE46" s="726"/>
      <c r="BF46" s="726"/>
      <c r="BG46" s="726"/>
    </row>
    <row r="47" spans="1:59" x14ac:dyDescent="0.25">
      <c r="A47" s="727" t="s">
        <v>130</v>
      </c>
      <c r="B47" s="728">
        <v>1506</v>
      </c>
      <c r="C47" s="725">
        <f t="shared" si="0"/>
        <v>94.016508627673772</v>
      </c>
      <c r="D47" s="92"/>
      <c r="E47" s="726"/>
      <c r="F47" s="726"/>
      <c r="G47" s="726"/>
      <c r="H47" s="726"/>
      <c r="I47" s="746" t="s">
        <v>1486</v>
      </c>
      <c r="J47" s="747">
        <v>9</v>
      </c>
      <c r="K47" s="726"/>
      <c r="L47" s="726"/>
      <c r="M47" s="726"/>
      <c r="N47" s="726"/>
      <c r="O47" s="726"/>
      <c r="P47" s="726"/>
      <c r="Q47" s="726"/>
      <c r="R47" s="726"/>
      <c r="S47" s="726"/>
      <c r="T47" s="726"/>
      <c r="U47" s="726"/>
      <c r="V47" s="726"/>
      <c r="W47" s="726"/>
      <c r="X47" s="726"/>
      <c r="Y47" s="726"/>
      <c r="Z47" s="726"/>
      <c r="AA47" s="726"/>
      <c r="AB47" s="726"/>
      <c r="AC47" s="726"/>
      <c r="AD47" s="726"/>
      <c r="AE47" s="726"/>
      <c r="AF47" s="726"/>
      <c r="AG47" s="726"/>
      <c r="AH47" s="726"/>
      <c r="AI47" s="726"/>
      <c r="AJ47" s="726"/>
      <c r="AK47" s="726"/>
      <c r="AL47" s="726"/>
      <c r="AM47" s="726"/>
      <c r="AN47" s="726"/>
      <c r="AO47" s="726"/>
      <c r="AP47" s="726"/>
      <c r="AQ47" s="726"/>
      <c r="AR47" s="726"/>
      <c r="AS47" s="726"/>
      <c r="AT47" s="726"/>
      <c r="AU47" s="726"/>
      <c r="AV47" s="726"/>
      <c r="AW47" s="726"/>
      <c r="AX47" s="726"/>
      <c r="AY47" s="726"/>
      <c r="AZ47" s="726"/>
      <c r="BA47" s="726"/>
      <c r="BB47" s="726"/>
      <c r="BC47" s="726"/>
      <c r="BD47" s="726"/>
      <c r="BE47" s="726"/>
      <c r="BF47" s="726"/>
      <c r="BG47" s="726"/>
    </row>
    <row r="48" spans="1:59" x14ac:dyDescent="0.25">
      <c r="A48" s="727" t="s">
        <v>131</v>
      </c>
      <c r="B48" s="728">
        <v>1442</v>
      </c>
      <c r="C48" s="725">
        <f t="shared" si="0"/>
        <v>90.02111915080053</v>
      </c>
      <c r="D48" s="92"/>
      <c r="E48" s="726"/>
      <c r="F48" s="726"/>
      <c r="G48" s="726"/>
      <c r="H48" s="726"/>
      <c r="I48" s="746" t="s">
        <v>1487</v>
      </c>
      <c r="J48" s="747" t="s">
        <v>1488</v>
      </c>
      <c r="K48" s="726"/>
      <c r="L48" s="726"/>
      <c r="M48" s="726"/>
      <c r="N48" s="726"/>
      <c r="O48" s="726"/>
      <c r="P48" s="726"/>
      <c r="Q48" s="726"/>
      <c r="R48" s="726"/>
      <c r="S48" s="726"/>
      <c r="T48" s="726"/>
      <c r="U48" s="726"/>
      <c r="V48" s="726"/>
      <c r="W48" s="726"/>
      <c r="X48" s="726"/>
      <c r="Y48" s="726"/>
      <c r="Z48" s="726"/>
      <c r="AA48" s="726"/>
      <c r="AB48" s="726"/>
      <c r="AC48" s="726"/>
      <c r="AD48" s="726"/>
      <c r="AE48" s="726"/>
      <c r="AF48" s="726"/>
      <c r="AG48" s="726"/>
      <c r="AH48" s="726"/>
      <c r="AI48" s="726"/>
      <c r="AJ48" s="726"/>
      <c r="AK48" s="726"/>
      <c r="AL48" s="726"/>
      <c r="AM48" s="726"/>
      <c r="AN48" s="726"/>
      <c r="AO48" s="726"/>
      <c r="AP48" s="726"/>
      <c r="AQ48" s="726"/>
      <c r="AR48" s="726"/>
      <c r="AS48" s="726"/>
      <c r="AT48" s="726"/>
      <c r="AU48" s="726"/>
      <c r="AV48" s="726"/>
      <c r="AW48" s="726"/>
      <c r="AX48" s="726"/>
      <c r="AY48" s="726"/>
      <c r="AZ48" s="726"/>
      <c r="BA48" s="726"/>
      <c r="BB48" s="726"/>
      <c r="BC48" s="726"/>
      <c r="BD48" s="726"/>
      <c r="BE48" s="726"/>
      <c r="BF48" s="726"/>
      <c r="BG48" s="726"/>
    </row>
    <row r="49" spans="1:59" x14ac:dyDescent="0.25">
      <c r="A49" s="729" t="s">
        <v>132</v>
      </c>
      <c r="B49" s="730">
        <v>1121</v>
      </c>
      <c r="C49" s="725">
        <f t="shared" si="0"/>
        <v>69.981743805858102</v>
      </c>
      <c r="D49" s="92"/>
      <c r="E49" s="726"/>
      <c r="F49" s="726"/>
      <c r="G49" s="726"/>
      <c r="H49" s="726"/>
      <c r="I49" s="746" t="s">
        <v>1489</v>
      </c>
      <c r="J49" s="747">
        <v>3.5</v>
      </c>
      <c r="K49" s="726"/>
      <c r="L49" s="726"/>
      <c r="M49" s="726"/>
      <c r="N49" s="726"/>
      <c r="O49" s="726"/>
      <c r="P49" s="726"/>
      <c r="Q49" s="726"/>
      <c r="R49" s="726"/>
      <c r="S49" s="726"/>
      <c r="T49" s="726"/>
      <c r="U49" s="726"/>
      <c r="V49" s="726"/>
      <c r="W49" s="726"/>
      <c r="X49" s="726"/>
      <c r="Y49" s="726"/>
      <c r="Z49" s="726"/>
      <c r="AA49" s="726"/>
      <c r="AB49" s="726"/>
      <c r="AC49" s="726"/>
      <c r="AD49" s="726"/>
      <c r="AE49" s="726"/>
      <c r="AF49" s="726"/>
      <c r="AG49" s="726"/>
      <c r="AH49" s="726"/>
      <c r="AI49" s="726"/>
      <c r="AJ49" s="726"/>
      <c r="AK49" s="726"/>
      <c r="AL49" s="726"/>
      <c r="AM49" s="726"/>
      <c r="AN49" s="726"/>
      <c r="AO49" s="726"/>
      <c r="AP49" s="726"/>
      <c r="AQ49" s="726"/>
      <c r="AR49" s="726"/>
      <c r="AS49" s="726"/>
      <c r="AT49" s="726"/>
      <c r="AU49" s="726"/>
      <c r="AV49" s="726"/>
      <c r="AW49" s="726"/>
      <c r="AX49" s="726"/>
      <c r="AY49" s="726"/>
      <c r="AZ49" s="726"/>
      <c r="BA49" s="726"/>
      <c r="BB49" s="726"/>
      <c r="BC49" s="726"/>
      <c r="BD49" s="726"/>
      <c r="BE49" s="726"/>
      <c r="BF49" s="726"/>
      <c r="BG49" s="726"/>
    </row>
    <row r="50" spans="1:59" x14ac:dyDescent="0.25">
      <c r="A50" s="727" t="s">
        <v>133</v>
      </c>
      <c r="B50" s="728">
        <v>1442</v>
      </c>
      <c r="C50" s="725">
        <f t="shared" si="0"/>
        <v>90.02111915080053</v>
      </c>
      <c r="D50" s="92"/>
      <c r="E50" s="726"/>
      <c r="F50" s="726"/>
      <c r="G50" s="726"/>
      <c r="H50" s="726"/>
      <c r="I50" s="746" t="s">
        <v>1490</v>
      </c>
      <c r="J50" s="747">
        <v>2.6</v>
      </c>
      <c r="K50" s="726"/>
      <c r="L50" s="726"/>
      <c r="M50" s="726"/>
      <c r="N50" s="726"/>
      <c r="O50" s="726"/>
      <c r="P50" s="726"/>
      <c r="Q50" s="726"/>
      <c r="R50" s="726"/>
      <c r="S50" s="726"/>
      <c r="T50" s="726"/>
      <c r="U50" s="726"/>
      <c r="V50" s="726"/>
      <c r="W50" s="726"/>
      <c r="X50" s="726"/>
      <c r="Y50" s="726"/>
      <c r="Z50" s="726"/>
      <c r="AA50" s="726"/>
      <c r="AB50" s="726"/>
      <c r="AC50" s="726"/>
      <c r="AD50" s="726"/>
      <c r="AE50" s="726"/>
      <c r="AF50" s="726"/>
      <c r="AG50" s="726"/>
      <c r="AH50" s="726"/>
      <c r="AI50" s="726"/>
      <c r="AJ50" s="726"/>
      <c r="AK50" s="726"/>
      <c r="AL50" s="726"/>
      <c r="AM50" s="726"/>
      <c r="AN50" s="726"/>
      <c r="AO50" s="726"/>
      <c r="AP50" s="726"/>
      <c r="AQ50" s="726"/>
      <c r="AR50" s="726"/>
      <c r="AS50" s="726"/>
      <c r="AT50" s="726"/>
      <c r="AU50" s="726"/>
      <c r="AV50" s="726"/>
      <c r="AW50" s="726"/>
      <c r="AX50" s="726"/>
      <c r="AY50" s="726"/>
      <c r="AZ50" s="726"/>
      <c r="BA50" s="726"/>
      <c r="BB50" s="726"/>
      <c r="BC50" s="726"/>
      <c r="BD50" s="726"/>
      <c r="BE50" s="726"/>
      <c r="BF50" s="726"/>
      <c r="BG50" s="726"/>
    </row>
    <row r="51" spans="1:59" ht="13" customHeight="1" x14ac:dyDescent="0.25">
      <c r="A51" s="729" t="s">
        <v>134</v>
      </c>
      <c r="B51" s="730">
        <v>2499</v>
      </c>
      <c r="C51" s="725">
        <f t="shared" si="0"/>
        <v>156.00747347978538</v>
      </c>
      <c r="D51" s="92"/>
      <c r="E51" s="726"/>
      <c r="F51" s="726"/>
      <c r="G51" s="726"/>
      <c r="H51" s="726"/>
      <c r="I51" s="746" t="s">
        <v>1491</v>
      </c>
      <c r="J51" s="747">
        <v>0.8</v>
      </c>
      <c r="K51" s="726"/>
      <c r="L51" s="726"/>
      <c r="M51" s="726"/>
      <c r="N51" s="726"/>
      <c r="O51" s="726"/>
      <c r="P51" s="726"/>
      <c r="Q51" s="726"/>
      <c r="R51" s="726"/>
      <c r="S51" s="726"/>
      <c r="T51" s="726"/>
      <c r="U51" s="726"/>
      <c r="V51" s="726"/>
      <c r="W51" s="726"/>
      <c r="X51" s="726"/>
      <c r="Y51" s="726"/>
      <c r="Z51" s="726"/>
      <c r="AA51" s="726"/>
      <c r="AB51" s="726"/>
      <c r="AC51" s="726"/>
      <c r="AD51" s="726"/>
      <c r="AE51" s="726"/>
      <c r="AF51" s="726"/>
      <c r="AG51" s="726"/>
      <c r="AH51" s="726"/>
      <c r="AI51" s="726"/>
      <c r="AJ51" s="726"/>
      <c r="AK51" s="726"/>
      <c r="AL51" s="726"/>
      <c r="AM51" s="726"/>
      <c r="AN51" s="726"/>
      <c r="AO51" s="726"/>
      <c r="AP51" s="726"/>
      <c r="AQ51" s="726"/>
      <c r="AR51" s="726"/>
      <c r="AS51" s="726"/>
      <c r="AT51" s="726"/>
      <c r="AU51" s="726"/>
      <c r="AV51" s="726"/>
      <c r="AW51" s="726"/>
      <c r="AX51" s="726"/>
      <c r="AY51" s="726"/>
      <c r="AZ51" s="726"/>
      <c r="BA51" s="726"/>
      <c r="BB51" s="726"/>
      <c r="BC51" s="726"/>
      <c r="BD51" s="726"/>
      <c r="BE51" s="726"/>
      <c r="BF51" s="726"/>
      <c r="BG51" s="726"/>
    </row>
    <row r="52" spans="1:59" x14ac:dyDescent="0.25">
      <c r="A52" s="727" t="s">
        <v>135</v>
      </c>
      <c r="B52" s="728">
        <v>208</v>
      </c>
      <c r="C52" s="725">
        <f t="shared" si="0"/>
        <v>12.985015799838077</v>
      </c>
      <c r="D52" s="92"/>
      <c r="E52" s="726"/>
      <c r="F52" s="726"/>
      <c r="G52" s="726"/>
      <c r="H52" s="726"/>
      <c r="I52" s="746" t="s">
        <v>1492</v>
      </c>
      <c r="J52" s="747" t="s">
        <v>1493</v>
      </c>
      <c r="K52" s="726"/>
      <c r="L52" s="726"/>
      <c r="M52" s="726"/>
      <c r="N52" s="726"/>
      <c r="O52" s="726"/>
      <c r="P52" s="726"/>
      <c r="Q52" s="726"/>
      <c r="R52" s="726"/>
      <c r="S52" s="726"/>
      <c r="T52" s="726"/>
      <c r="U52" s="726"/>
      <c r="V52" s="726"/>
      <c r="W52" s="726"/>
      <c r="X52" s="726"/>
      <c r="Y52" s="726"/>
      <c r="Z52" s="726"/>
      <c r="AA52" s="726"/>
      <c r="AB52" s="726"/>
      <c r="AC52" s="726"/>
      <c r="AD52" s="726"/>
      <c r="AE52" s="726"/>
      <c r="AF52" s="726"/>
      <c r="AG52" s="726"/>
      <c r="AH52" s="726"/>
      <c r="AI52" s="726"/>
      <c r="AJ52" s="726"/>
      <c r="AK52" s="726"/>
      <c r="AL52" s="726"/>
      <c r="AM52" s="726"/>
      <c r="AN52" s="726"/>
      <c r="AO52" s="726"/>
      <c r="AP52" s="726"/>
      <c r="AQ52" s="726"/>
      <c r="AR52" s="726"/>
      <c r="AS52" s="726"/>
      <c r="AT52" s="726"/>
      <c r="AU52" s="726"/>
      <c r="AV52" s="726"/>
      <c r="AW52" s="726"/>
      <c r="AX52" s="726"/>
      <c r="AY52" s="726"/>
      <c r="AZ52" s="726"/>
      <c r="BA52" s="726"/>
      <c r="BB52" s="726"/>
      <c r="BC52" s="726"/>
      <c r="BD52" s="726"/>
      <c r="BE52" s="726"/>
      <c r="BF52" s="726"/>
      <c r="BG52" s="726"/>
    </row>
    <row r="53" spans="1:59" x14ac:dyDescent="0.25">
      <c r="A53" s="28" t="s">
        <v>56</v>
      </c>
      <c r="B53" s="732">
        <v>750</v>
      </c>
      <c r="C53" s="725">
        <f t="shared" si="0"/>
        <v>46.820970432108453</v>
      </c>
      <c r="D53" s="92"/>
      <c r="E53" s="726"/>
      <c r="F53" s="726"/>
      <c r="G53" s="726"/>
      <c r="H53" s="726"/>
      <c r="I53" s="746" t="s">
        <v>1494</v>
      </c>
      <c r="J53" s="747">
        <v>2.5</v>
      </c>
      <c r="K53" s="726"/>
      <c r="L53" s="726"/>
      <c r="M53" s="726"/>
      <c r="N53" s="726"/>
      <c r="O53" s="726"/>
      <c r="P53" s="726"/>
      <c r="Q53" s="726"/>
      <c r="R53" s="726"/>
      <c r="S53" s="726"/>
      <c r="T53" s="726"/>
      <c r="U53" s="726"/>
      <c r="V53" s="726"/>
      <c r="W53" s="726"/>
      <c r="X53" s="726"/>
      <c r="Y53" s="726"/>
      <c r="Z53" s="726"/>
      <c r="AA53" s="726"/>
      <c r="AB53" s="726"/>
      <c r="AC53" s="726"/>
      <c r="AD53" s="726"/>
      <c r="AE53" s="726"/>
      <c r="AF53" s="726"/>
      <c r="AG53" s="726"/>
      <c r="AH53" s="726"/>
      <c r="AI53" s="726"/>
      <c r="AJ53" s="726"/>
      <c r="AK53" s="726"/>
      <c r="AL53" s="726"/>
      <c r="AM53" s="726"/>
      <c r="AN53" s="726"/>
      <c r="AO53" s="726"/>
      <c r="AP53" s="726"/>
      <c r="AQ53" s="726"/>
      <c r="AR53" s="726"/>
      <c r="AS53" s="726"/>
      <c r="AT53" s="726"/>
      <c r="AU53" s="726"/>
      <c r="AV53" s="726"/>
      <c r="AW53" s="726"/>
      <c r="AX53" s="726"/>
      <c r="AY53" s="726"/>
      <c r="AZ53" s="726"/>
      <c r="BA53" s="726"/>
      <c r="BB53" s="726"/>
      <c r="BC53" s="726"/>
      <c r="BD53" s="726"/>
      <c r="BE53" s="726"/>
      <c r="BF53" s="726"/>
      <c r="BG53" s="726"/>
    </row>
    <row r="54" spans="1:59" x14ac:dyDescent="0.25">
      <c r="A54" s="28" t="s">
        <v>58</v>
      </c>
      <c r="B54" s="732">
        <v>550</v>
      </c>
      <c r="C54" s="725">
        <f t="shared" si="0"/>
        <v>34.335378316879535</v>
      </c>
      <c r="D54" s="92"/>
      <c r="E54" s="726"/>
      <c r="F54" s="726"/>
      <c r="G54" s="726"/>
      <c r="H54" s="726"/>
      <c r="I54" s="746" t="s">
        <v>1495</v>
      </c>
      <c r="J54" s="747" t="s">
        <v>1496</v>
      </c>
      <c r="K54" s="726"/>
      <c r="L54" s="726"/>
      <c r="M54" s="726"/>
      <c r="N54" s="726"/>
      <c r="O54" s="726"/>
      <c r="P54" s="726"/>
      <c r="Q54" s="726"/>
      <c r="R54" s="726"/>
      <c r="S54" s="726"/>
      <c r="T54" s="726"/>
      <c r="U54" s="726"/>
      <c r="V54" s="726"/>
      <c r="W54" s="726"/>
      <c r="X54" s="726"/>
      <c r="Y54" s="726"/>
      <c r="Z54" s="726"/>
      <c r="AA54" s="726"/>
      <c r="AB54" s="726"/>
      <c r="AC54" s="726"/>
      <c r="AD54" s="726"/>
      <c r="AE54" s="726"/>
      <c r="AF54" s="726"/>
      <c r="AG54" s="726"/>
      <c r="AH54" s="726"/>
      <c r="AI54" s="726"/>
      <c r="AJ54" s="726"/>
      <c r="AK54" s="726"/>
      <c r="AL54" s="726"/>
      <c r="AM54" s="726"/>
      <c r="AN54" s="726"/>
      <c r="AO54" s="726"/>
      <c r="AP54" s="726"/>
      <c r="AQ54" s="726"/>
      <c r="AR54" s="726"/>
      <c r="AS54" s="726"/>
      <c r="AT54" s="726"/>
      <c r="AU54" s="726"/>
      <c r="AV54" s="726"/>
      <c r="AW54" s="726"/>
      <c r="AX54" s="726"/>
      <c r="AY54" s="726"/>
      <c r="AZ54" s="726"/>
      <c r="BA54" s="726"/>
      <c r="BB54" s="726"/>
      <c r="BC54" s="726"/>
      <c r="BD54" s="726"/>
      <c r="BE54" s="726"/>
      <c r="BF54" s="726"/>
      <c r="BG54" s="726"/>
    </row>
    <row r="55" spans="1:59" x14ac:dyDescent="0.25">
      <c r="A55" s="727" t="s">
        <v>136</v>
      </c>
      <c r="B55" s="728">
        <v>6856</v>
      </c>
      <c r="C55" s="725">
        <f t="shared" si="0"/>
        <v>428.00609771004741</v>
      </c>
      <c r="D55" s="92"/>
      <c r="E55" s="726"/>
      <c r="F55" s="726"/>
      <c r="G55" s="726"/>
      <c r="H55" s="726"/>
      <c r="I55" s="746" t="s">
        <v>1497</v>
      </c>
      <c r="J55" s="747">
        <v>3.1</v>
      </c>
      <c r="K55" s="726"/>
      <c r="L55" s="726"/>
      <c r="M55" s="726"/>
      <c r="N55" s="726"/>
      <c r="O55" s="726"/>
      <c r="P55" s="726"/>
      <c r="Q55" s="726"/>
      <c r="R55" s="726"/>
      <c r="S55" s="726"/>
      <c r="T55" s="726"/>
      <c r="U55" s="726"/>
      <c r="V55" s="726"/>
      <c r="W55" s="726"/>
      <c r="X55" s="726"/>
      <c r="Y55" s="726"/>
      <c r="Z55" s="726"/>
      <c r="AA55" s="726"/>
      <c r="AB55" s="726"/>
      <c r="AC55" s="726"/>
      <c r="AD55" s="726"/>
      <c r="AE55" s="726"/>
      <c r="AF55" s="726"/>
      <c r="AG55" s="726"/>
      <c r="AH55" s="726"/>
      <c r="AI55" s="726"/>
      <c r="AJ55" s="726"/>
      <c r="AK55" s="726"/>
      <c r="AL55" s="726"/>
      <c r="AM55" s="726"/>
      <c r="AN55" s="726"/>
      <c r="AO55" s="726"/>
      <c r="AP55" s="726"/>
      <c r="AQ55" s="726"/>
      <c r="AR55" s="726"/>
      <c r="AS55" s="726"/>
      <c r="AT55" s="726"/>
      <c r="AU55" s="726"/>
      <c r="AV55" s="726"/>
      <c r="AW55" s="726"/>
      <c r="AX55" s="726"/>
      <c r="AY55" s="726"/>
      <c r="AZ55" s="726"/>
      <c r="BA55" s="726"/>
      <c r="BB55" s="726"/>
      <c r="BC55" s="726"/>
      <c r="BD55" s="726"/>
      <c r="BE55" s="726"/>
      <c r="BF55" s="726"/>
      <c r="BG55" s="726"/>
    </row>
    <row r="56" spans="1:59" x14ac:dyDescent="0.25">
      <c r="A56" s="729" t="s">
        <v>137</v>
      </c>
      <c r="B56" s="730">
        <v>2162</v>
      </c>
      <c r="C56" s="725">
        <f t="shared" si="0"/>
        <v>134.96925076562465</v>
      </c>
      <c r="D56" s="92"/>
      <c r="E56" s="726"/>
      <c r="F56" s="726"/>
      <c r="G56" s="726"/>
      <c r="H56" s="726"/>
      <c r="I56" s="746" t="s">
        <v>1498</v>
      </c>
      <c r="J56" s="747" t="s">
        <v>1499</v>
      </c>
      <c r="K56" s="726"/>
      <c r="L56" s="726"/>
      <c r="M56" s="726"/>
      <c r="N56" s="726"/>
      <c r="O56" s="726"/>
      <c r="P56" s="726"/>
      <c r="Q56" s="726"/>
      <c r="R56" s="726"/>
      <c r="S56" s="726"/>
      <c r="T56" s="726"/>
      <c r="U56" s="726"/>
      <c r="V56" s="726"/>
      <c r="W56" s="726"/>
      <c r="X56" s="726"/>
      <c r="Y56" s="726"/>
      <c r="Z56" s="726"/>
      <c r="AA56" s="726"/>
      <c r="AB56" s="726"/>
      <c r="AC56" s="726"/>
      <c r="AD56" s="726"/>
      <c r="AE56" s="726"/>
      <c r="AF56" s="726"/>
      <c r="AG56" s="726"/>
      <c r="AH56" s="726"/>
      <c r="AI56" s="726"/>
      <c r="AJ56" s="726"/>
      <c r="AK56" s="726"/>
      <c r="AL56" s="726"/>
      <c r="AM56" s="726"/>
      <c r="AN56" s="726"/>
      <c r="AO56" s="726"/>
      <c r="AP56" s="726"/>
      <c r="AQ56" s="726"/>
      <c r="AR56" s="726"/>
      <c r="AS56" s="726"/>
      <c r="AT56" s="726"/>
      <c r="AU56" s="726"/>
      <c r="AV56" s="726"/>
      <c r="AW56" s="726"/>
      <c r="AX56" s="726"/>
      <c r="AY56" s="726"/>
      <c r="AZ56" s="726"/>
      <c r="BA56" s="726"/>
      <c r="BB56" s="726"/>
      <c r="BC56" s="726"/>
      <c r="BD56" s="726"/>
      <c r="BE56" s="726"/>
      <c r="BF56" s="726"/>
      <c r="BG56" s="726"/>
    </row>
    <row r="57" spans="1:59" x14ac:dyDescent="0.25">
      <c r="A57" s="729" t="s">
        <v>138</v>
      </c>
      <c r="B57" s="730">
        <v>641</v>
      </c>
      <c r="C57" s="725">
        <f t="shared" si="0"/>
        <v>40.01632272930869</v>
      </c>
      <c r="D57" s="92"/>
      <c r="E57" s="726"/>
      <c r="F57" s="726"/>
      <c r="G57" s="726"/>
      <c r="H57" s="726"/>
      <c r="I57" s="746" t="s">
        <v>1500</v>
      </c>
      <c r="J57" s="747" t="s">
        <v>1501</v>
      </c>
      <c r="K57" s="726"/>
      <c r="L57" s="726"/>
      <c r="M57" s="726"/>
      <c r="N57" s="726"/>
      <c r="O57" s="726"/>
      <c r="P57" s="726"/>
      <c r="Q57" s="726"/>
      <c r="R57" s="726"/>
      <c r="S57" s="726"/>
      <c r="T57" s="726"/>
      <c r="U57" s="726"/>
      <c r="V57" s="726"/>
      <c r="W57" s="726"/>
      <c r="X57" s="726"/>
      <c r="Y57" s="726"/>
      <c r="Z57" s="726"/>
      <c r="AA57" s="726"/>
      <c r="AB57" s="726"/>
      <c r="AC57" s="726"/>
      <c r="AD57" s="726"/>
      <c r="AE57" s="726"/>
      <c r="AF57" s="726"/>
      <c r="AG57" s="726"/>
      <c r="AH57" s="726"/>
      <c r="AI57" s="726"/>
      <c r="AJ57" s="726"/>
      <c r="AK57" s="726"/>
      <c r="AL57" s="726"/>
      <c r="AM57" s="726"/>
      <c r="AN57" s="726"/>
      <c r="AO57" s="726"/>
      <c r="AP57" s="726"/>
      <c r="AQ57" s="726"/>
      <c r="AR57" s="726"/>
      <c r="AS57" s="726"/>
      <c r="AT57" s="726"/>
      <c r="AU57" s="726"/>
      <c r="AV57" s="726"/>
      <c r="AW57" s="726"/>
      <c r="AX57" s="726"/>
      <c r="AY57" s="726"/>
      <c r="AZ57" s="726"/>
      <c r="BA57" s="726"/>
      <c r="BB57" s="726"/>
      <c r="BC57" s="726"/>
      <c r="BD57" s="726"/>
      <c r="BE57" s="726"/>
      <c r="BF57" s="726"/>
      <c r="BG57" s="726"/>
    </row>
    <row r="58" spans="1:59" ht="13" customHeight="1" x14ac:dyDescent="0.25">
      <c r="A58" s="727" t="s">
        <v>139</v>
      </c>
      <c r="B58" s="728">
        <v>913</v>
      </c>
      <c r="C58" s="725">
        <f t="shared" si="0"/>
        <v>56.996728006020021</v>
      </c>
      <c r="D58" s="92"/>
      <c r="E58" s="726"/>
      <c r="F58" s="726"/>
      <c r="G58" s="726"/>
      <c r="H58" s="726"/>
      <c r="I58" s="746" t="s">
        <v>1502</v>
      </c>
      <c r="J58" s="747" t="s">
        <v>1503</v>
      </c>
      <c r="K58" s="726"/>
      <c r="L58" s="726"/>
      <c r="M58" s="726"/>
      <c r="N58" s="726"/>
      <c r="O58" s="726"/>
      <c r="P58" s="726"/>
      <c r="Q58" s="726"/>
      <c r="R58" s="726"/>
      <c r="S58" s="726"/>
      <c r="T58" s="726"/>
      <c r="U58" s="726"/>
      <c r="V58" s="726"/>
      <c r="W58" s="726"/>
      <c r="X58" s="726"/>
      <c r="Y58" s="726"/>
      <c r="Z58" s="726"/>
      <c r="AA58" s="726"/>
      <c r="AB58" s="726"/>
      <c r="AC58" s="726"/>
      <c r="AD58" s="726"/>
      <c r="AE58" s="726"/>
      <c r="AF58" s="726"/>
      <c r="AG58" s="726"/>
      <c r="AH58" s="726"/>
      <c r="AI58" s="726"/>
      <c r="AJ58" s="726"/>
      <c r="AK58" s="726"/>
      <c r="AL58" s="726"/>
      <c r="AM58" s="726"/>
      <c r="AN58" s="726"/>
      <c r="AO58" s="726"/>
      <c r="AP58" s="726"/>
      <c r="AQ58" s="726"/>
      <c r="AR58" s="726"/>
      <c r="AS58" s="726"/>
      <c r="AT58" s="726"/>
      <c r="AU58" s="726"/>
      <c r="AV58" s="726"/>
      <c r="AW58" s="726"/>
      <c r="AX58" s="726"/>
      <c r="AY58" s="726"/>
      <c r="AZ58" s="726"/>
      <c r="BA58" s="726"/>
      <c r="BB58" s="726"/>
      <c r="BC58" s="726"/>
      <c r="BD58" s="726"/>
      <c r="BE58" s="726"/>
      <c r="BF58" s="726"/>
      <c r="BG58" s="726"/>
    </row>
    <row r="59" spans="1:59" x14ac:dyDescent="0.25">
      <c r="A59" s="729" t="s">
        <v>140</v>
      </c>
      <c r="B59" s="730">
        <v>1746</v>
      </c>
      <c r="C59" s="725">
        <f t="shared" si="0"/>
        <v>108.99921916594849</v>
      </c>
      <c r="D59" s="92"/>
      <c r="E59" s="726"/>
      <c r="F59" s="726"/>
      <c r="G59" s="726"/>
      <c r="H59" s="726"/>
      <c r="I59" s="746" t="s">
        <v>1504</v>
      </c>
      <c r="J59" s="747">
        <v>0.4</v>
      </c>
      <c r="K59" s="726"/>
      <c r="L59" s="726"/>
      <c r="M59" s="726"/>
      <c r="N59" s="726"/>
      <c r="O59" s="726"/>
      <c r="P59" s="726"/>
      <c r="Q59" s="726"/>
      <c r="R59" s="726"/>
      <c r="S59" s="726"/>
      <c r="T59" s="726"/>
      <c r="U59" s="726"/>
      <c r="V59" s="726"/>
      <c r="W59" s="726"/>
      <c r="X59" s="726"/>
      <c r="Y59" s="726"/>
      <c r="Z59" s="726"/>
      <c r="AA59" s="726"/>
      <c r="AB59" s="726"/>
      <c r="AC59" s="726"/>
      <c r="AD59" s="726"/>
      <c r="AE59" s="726"/>
      <c r="AF59" s="726"/>
      <c r="AG59" s="726"/>
      <c r="AH59" s="726"/>
      <c r="AI59" s="726"/>
      <c r="AJ59" s="726"/>
      <c r="AK59" s="726"/>
      <c r="AL59" s="726"/>
      <c r="AM59" s="726"/>
      <c r="AN59" s="726"/>
      <c r="AO59" s="726"/>
      <c r="AP59" s="726"/>
      <c r="AQ59" s="726"/>
      <c r="AR59" s="726"/>
      <c r="AS59" s="726"/>
      <c r="AT59" s="726"/>
      <c r="AU59" s="726"/>
      <c r="AV59" s="726"/>
      <c r="AW59" s="726"/>
      <c r="AX59" s="726"/>
      <c r="AY59" s="726"/>
      <c r="AZ59" s="726"/>
      <c r="BA59" s="726"/>
      <c r="BB59" s="726"/>
      <c r="BC59" s="726"/>
      <c r="BD59" s="726"/>
      <c r="BE59" s="726"/>
      <c r="BF59" s="726"/>
      <c r="BG59" s="726"/>
    </row>
    <row r="60" spans="1:59" x14ac:dyDescent="0.25">
      <c r="A60" s="727" t="s">
        <v>141</v>
      </c>
      <c r="B60" s="728">
        <v>1089</v>
      </c>
      <c r="C60" s="725">
        <f t="shared" si="0"/>
        <v>67.984049067421466</v>
      </c>
      <c r="D60" s="92"/>
      <c r="E60" s="726"/>
      <c r="F60" s="726"/>
      <c r="G60" s="726"/>
      <c r="H60" s="726"/>
      <c r="I60" s="746" t="s">
        <v>1505</v>
      </c>
      <c r="J60" s="747" t="s">
        <v>1506</v>
      </c>
      <c r="K60" s="726"/>
      <c r="L60" s="726"/>
      <c r="M60" s="726"/>
      <c r="N60" s="726"/>
      <c r="O60" s="726"/>
      <c r="P60" s="726"/>
      <c r="Q60" s="726"/>
      <c r="R60" s="726"/>
      <c r="S60" s="726"/>
      <c r="T60" s="726"/>
      <c r="U60" s="726"/>
      <c r="V60" s="726"/>
      <c r="W60" s="726"/>
      <c r="X60" s="726"/>
      <c r="Y60" s="726"/>
      <c r="Z60" s="726"/>
      <c r="AA60" s="726"/>
      <c r="AB60" s="726"/>
      <c r="AC60" s="726"/>
      <c r="AD60" s="726"/>
      <c r="AE60" s="726"/>
      <c r="AF60" s="726"/>
      <c r="AG60" s="726"/>
      <c r="AH60" s="726"/>
      <c r="AI60" s="726"/>
      <c r="AJ60" s="726"/>
      <c r="AK60" s="726"/>
      <c r="AL60" s="726"/>
      <c r="AM60" s="726"/>
      <c r="AN60" s="726"/>
      <c r="AO60" s="726"/>
      <c r="AP60" s="726"/>
      <c r="AQ60" s="726"/>
      <c r="AR60" s="726"/>
      <c r="AS60" s="726"/>
      <c r="AT60" s="726"/>
      <c r="AU60" s="726"/>
      <c r="AV60" s="726"/>
      <c r="AW60" s="726"/>
      <c r="AX60" s="726"/>
      <c r="AY60" s="726"/>
      <c r="AZ60" s="726"/>
      <c r="BA60" s="726"/>
      <c r="BB60" s="726"/>
      <c r="BC60" s="726"/>
      <c r="BD60" s="726"/>
      <c r="BE60" s="726"/>
      <c r="BF60" s="726"/>
      <c r="BG60" s="726"/>
    </row>
    <row r="61" spans="1:59" x14ac:dyDescent="0.25">
      <c r="A61" s="727" t="s">
        <v>142</v>
      </c>
      <c r="B61" s="728">
        <v>1073</v>
      </c>
      <c r="C61" s="725">
        <f t="shared" si="0"/>
        <v>66.985201698203156</v>
      </c>
      <c r="D61" s="92"/>
      <c r="E61" s="726"/>
      <c r="F61" s="726"/>
      <c r="G61" s="726"/>
      <c r="H61" s="726"/>
      <c r="I61" s="746" t="s">
        <v>1507</v>
      </c>
      <c r="J61" s="747" t="s">
        <v>1508</v>
      </c>
      <c r="K61" s="726"/>
      <c r="L61" s="726"/>
      <c r="M61" s="726"/>
      <c r="N61" s="726"/>
      <c r="O61" s="726"/>
      <c r="P61" s="726"/>
      <c r="Q61" s="726"/>
      <c r="R61" s="726"/>
      <c r="S61" s="726"/>
      <c r="T61" s="726"/>
      <c r="U61" s="726"/>
      <c r="V61" s="726"/>
      <c r="W61" s="726"/>
      <c r="X61" s="726"/>
      <c r="Y61" s="726"/>
      <c r="Z61" s="726"/>
      <c r="AA61" s="726"/>
      <c r="AB61" s="726"/>
      <c r="AC61" s="726"/>
      <c r="AD61" s="726"/>
      <c r="AE61" s="726"/>
      <c r="AF61" s="726"/>
      <c r="AG61" s="726"/>
      <c r="AH61" s="726"/>
      <c r="AI61" s="726"/>
      <c r="AJ61" s="726"/>
      <c r="AK61" s="726"/>
      <c r="AL61" s="726"/>
      <c r="AM61" s="726"/>
      <c r="AN61" s="726"/>
      <c r="AO61" s="726"/>
      <c r="AP61" s="726"/>
      <c r="AQ61" s="726"/>
      <c r="AR61" s="726"/>
      <c r="AS61" s="726"/>
      <c r="AT61" s="726"/>
      <c r="AU61" s="726"/>
      <c r="AV61" s="726"/>
      <c r="AW61" s="726"/>
      <c r="AX61" s="726"/>
      <c r="AY61" s="726"/>
      <c r="AZ61" s="726"/>
      <c r="BA61" s="726"/>
      <c r="BB61" s="726"/>
      <c r="BC61" s="726"/>
      <c r="BD61" s="726"/>
      <c r="BE61" s="726"/>
      <c r="BF61" s="726"/>
      <c r="BG61" s="726"/>
    </row>
    <row r="62" spans="1:59" x14ac:dyDescent="0.25">
      <c r="A62" s="729" t="s">
        <v>143</v>
      </c>
      <c r="B62" s="730">
        <v>1362</v>
      </c>
      <c r="C62" s="725">
        <f t="shared" si="0"/>
        <v>85.026882304708948</v>
      </c>
      <c r="D62" s="92"/>
      <c r="E62" s="726"/>
      <c r="F62" s="726"/>
      <c r="G62" s="726"/>
      <c r="H62" s="726"/>
      <c r="I62" s="746" t="s">
        <v>1509</v>
      </c>
      <c r="J62" s="747">
        <v>435</v>
      </c>
      <c r="K62" s="726"/>
      <c r="L62" s="726"/>
      <c r="M62" s="726"/>
      <c r="N62" s="726"/>
      <c r="O62" s="726"/>
      <c r="P62" s="726"/>
      <c r="Q62" s="726"/>
      <c r="R62" s="726"/>
      <c r="S62" s="726"/>
      <c r="T62" s="726"/>
      <c r="U62" s="726"/>
      <c r="V62" s="726"/>
      <c r="W62" s="726"/>
      <c r="X62" s="726"/>
      <c r="Y62" s="726"/>
      <c r="Z62" s="726"/>
      <c r="AA62" s="726"/>
      <c r="AB62" s="726"/>
      <c r="AC62" s="726"/>
      <c r="AD62" s="726"/>
      <c r="AE62" s="726"/>
      <c r="AF62" s="726"/>
      <c r="AG62" s="726"/>
      <c r="AH62" s="726"/>
      <c r="AI62" s="726"/>
      <c r="AJ62" s="726"/>
      <c r="AK62" s="726"/>
      <c r="AL62" s="726"/>
      <c r="AM62" s="726"/>
      <c r="AN62" s="726"/>
      <c r="AO62" s="726"/>
      <c r="AP62" s="726"/>
      <c r="AQ62" s="726"/>
      <c r="AR62" s="726"/>
      <c r="AS62" s="726"/>
      <c r="AT62" s="726"/>
      <c r="AU62" s="726"/>
      <c r="AV62" s="726"/>
      <c r="AW62" s="726"/>
      <c r="AX62" s="726"/>
      <c r="AY62" s="726"/>
      <c r="AZ62" s="726"/>
      <c r="BA62" s="726"/>
      <c r="BB62" s="726"/>
      <c r="BC62" s="726"/>
      <c r="BD62" s="726"/>
      <c r="BE62" s="726"/>
      <c r="BF62" s="726"/>
      <c r="BG62" s="726"/>
    </row>
    <row r="63" spans="1:59" ht="13" customHeight="1" x14ac:dyDescent="0.25">
      <c r="A63" s="729" t="s">
        <v>144</v>
      </c>
      <c r="B63" s="730">
        <v>1826</v>
      </c>
      <c r="C63" s="725">
        <f t="shared" si="0"/>
        <v>113.99345601204004</v>
      </c>
      <c r="D63" s="92"/>
      <c r="E63" s="726"/>
      <c r="F63" s="726"/>
      <c r="G63" s="726"/>
      <c r="H63" s="726"/>
      <c r="I63" s="746" t="s">
        <v>1510</v>
      </c>
      <c r="J63" s="747" t="s">
        <v>1511</v>
      </c>
      <c r="K63" s="726"/>
      <c r="L63" s="726"/>
      <c r="M63" s="726"/>
      <c r="N63" s="726"/>
      <c r="O63" s="726"/>
      <c r="P63" s="726"/>
      <c r="Q63" s="726"/>
      <c r="R63" s="726"/>
      <c r="S63" s="726"/>
      <c r="T63" s="726"/>
      <c r="U63" s="726"/>
      <c r="V63" s="726"/>
      <c r="W63" s="726"/>
      <c r="X63" s="726"/>
      <c r="Y63" s="726"/>
      <c r="Z63" s="726"/>
      <c r="AA63" s="726"/>
      <c r="AB63" s="726"/>
      <c r="AC63" s="726"/>
      <c r="AD63" s="726"/>
      <c r="AE63" s="726"/>
      <c r="AF63" s="726"/>
      <c r="AG63" s="726"/>
      <c r="AH63" s="726"/>
      <c r="AI63" s="726"/>
      <c r="AJ63" s="726"/>
      <c r="AK63" s="726"/>
      <c r="AL63" s="726"/>
      <c r="AM63" s="726"/>
      <c r="AN63" s="726"/>
      <c r="AO63" s="726"/>
      <c r="AP63" s="726"/>
      <c r="AQ63" s="726"/>
      <c r="AR63" s="726"/>
      <c r="AS63" s="726"/>
      <c r="AT63" s="726"/>
      <c r="AU63" s="726"/>
      <c r="AV63" s="726"/>
      <c r="AW63" s="726"/>
      <c r="AX63" s="726"/>
      <c r="AY63" s="726"/>
      <c r="AZ63" s="726"/>
      <c r="BA63" s="726"/>
      <c r="BB63" s="726"/>
      <c r="BC63" s="726"/>
      <c r="BD63" s="726"/>
      <c r="BE63" s="726"/>
      <c r="BF63" s="726"/>
      <c r="BG63" s="726"/>
    </row>
    <row r="64" spans="1:59" ht="13" customHeight="1" x14ac:dyDescent="0.25">
      <c r="A64" s="727" t="s">
        <v>145</v>
      </c>
      <c r="B64" s="728">
        <v>1602</v>
      </c>
      <c r="C64" s="725">
        <f t="shared" si="0"/>
        <v>100.00959284298365</v>
      </c>
      <c r="D64" s="92"/>
      <c r="E64" s="726"/>
      <c r="F64" s="726"/>
      <c r="G64" s="726"/>
      <c r="H64" s="726"/>
      <c r="I64" s="746" t="s">
        <v>1512</v>
      </c>
      <c r="J64" s="747">
        <v>450</v>
      </c>
      <c r="K64" s="726"/>
      <c r="L64" s="726"/>
      <c r="M64" s="726"/>
      <c r="N64" s="726"/>
      <c r="O64" s="726"/>
      <c r="P64" s="726"/>
      <c r="Q64" s="726"/>
      <c r="R64" s="726"/>
      <c r="S64" s="726"/>
      <c r="T64" s="726"/>
      <c r="U64" s="726"/>
      <c r="V64" s="726"/>
      <c r="W64" s="726"/>
      <c r="X64" s="726"/>
      <c r="Y64" s="726"/>
      <c r="Z64" s="726"/>
      <c r="AA64" s="726"/>
      <c r="AB64" s="726"/>
      <c r="AC64" s="726"/>
      <c r="AD64" s="726"/>
      <c r="AE64" s="726"/>
      <c r="AF64" s="726"/>
      <c r="AG64" s="726"/>
      <c r="AH64" s="726"/>
      <c r="AI64" s="726"/>
      <c r="AJ64" s="726"/>
      <c r="AK64" s="726"/>
      <c r="AL64" s="726"/>
      <c r="AM64" s="726"/>
      <c r="AN64" s="726"/>
      <c r="AO64" s="726"/>
      <c r="AP64" s="726"/>
      <c r="AQ64" s="726"/>
      <c r="AR64" s="726"/>
      <c r="AS64" s="726"/>
      <c r="AT64" s="726"/>
      <c r="AU64" s="726"/>
      <c r="AV64" s="726"/>
      <c r="AW64" s="726"/>
      <c r="AX64" s="726"/>
      <c r="AY64" s="726"/>
      <c r="AZ64" s="726"/>
      <c r="BA64" s="726"/>
      <c r="BB64" s="726"/>
      <c r="BC64" s="726"/>
      <c r="BD64" s="726"/>
      <c r="BE64" s="726"/>
      <c r="BF64" s="726"/>
      <c r="BG64" s="726"/>
    </row>
    <row r="65" spans="1:59" ht="13" customHeight="1" x14ac:dyDescent="0.25">
      <c r="A65" s="729" t="s">
        <v>146</v>
      </c>
      <c r="B65" s="730">
        <v>1105</v>
      </c>
      <c r="C65" s="725">
        <f t="shared" si="0"/>
        <v>68.982896436639791</v>
      </c>
      <c r="D65" s="92"/>
      <c r="E65" s="726"/>
      <c r="F65" s="726"/>
      <c r="G65" s="726"/>
      <c r="H65" s="726"/>
      <c r="I65" s="746" t="s">
        <v>1513</v>
      </c>
      <c r="J65" s="747">
        <v>180</v>
      </c>
      <c r="K65" s="726"/>
      <c r="L65" s="726"/>
      <c r="M65" s="726"/>
      <c r="N65" s="726"/>
      <c r="O65" s="726"/>
      <c r="P65" s="726"/>
      <c r="Q65" s="726"/>
      <c r="R65" s="726"/>
      <c r="S65" s="726"/>
      <c r="T65" s="726"/>
      <c r="U65" s="726"/>
      <c r="V65" s="726"/>
      <c r="W65" s="726"/>
      <c r="X65" s="726"/>
      <c r="Y65" s="726"/>
      <c r="Z65" s="726"/>
      <c r="AA65" s="726"/>
      <c r="AB65" s="726"/>
      <c r="AC65" s="726"/>
      <c r="AD65" s="726"/>
      <c r="AE65" s="726"/>
      <c r="AF65" s="726"/>
      <c r="AG65" s="726"/>
      <c r="AH65" s="726"/>
      <c r="AI65" s="726"/>
      <c r="AJ65" s="726"/>
      <c r="AK65" s="726"/>
      <c r="AL65" s="726"/>
      <c r="AM65" s="726"/>
      <c r="AN65" s="726"/>
      <c r="AO65" s="726"/>
      <c r="AP65" s="726"/>
      <c r="AQ65" s="726"/>
      <c r="AR65" s="726"/>
      <c r="AS65" s="726"/>
      <c r="AT65" s="726"/>
      <c r="AU65" s="726"/>
      <c r="AV65" s="726"/>
      <c r="AW65" s="726"/>
      <c r="AX65" s="726"/>
      <c r="AY65" s="726"/>
      <c r="AZ65" s="726"/>
      <c r="BA65" s="726"/>
      <c r="BB65" s="726"/>
      <c r="BC65" s="726"/>
      <c r="BD65" s="726"/>
      <c r="BE65" s="726"/>
      <c r="BF65" s="726"/>
      <c r="BG65" s="726"/>
    </row>
    <row r="66" spans="1:59" ht="13" customHeight="1" x14ac:dyDescent="0.25">
      <c r="A66" s="727" t="s">
        <v>147</v>
      </c>
      <c r="B66" s="728">
        <v>1506</v>
      </c>
      <c r="C66" s="725">
        <f t="shared" si="0"/>
        <v>94.016508627673772</v>
      </c>
      <c r="D66" s="92"/>
      <c r="E66" s="726"/>
      <c r="F66" s="726"/>
      <c r="G66" s="726"/>
      <c r="H66" s="726"/>
      <c r="I66" s="746" t="s">
        <v>1514</v>
      </c>
      <c r="J66" s="747">
        <v>200</v>
      </c>
      <c r="K66" s="726"/>
      <c r="L66" s="726"/>
      <c r="M66" s="726"/>
      <c r="N66" s="726"/>
      <c r="O66" s="726"/>
      <c r="P66" s="726"/>
      <c r="Q66" s="726"/>
      <c r="R66" s="726"/>
      <c r="S66" s="726"/>
      <c r="T66" s="726"/>
      <c r="U66" s="726"/>
      <c r="V66" s="726"/>
      <c r="W66" s="726"/>
      <c r="X66" s="726"/>
      <c r="Y66" s="726"/>
      <c r="Z66" s="726"/>
      <c r="AA66" s="726"/>
      <c r="AB66" s="726"/>
      <c r="AC66" s="726"/>
      <c r="AD66" s="726"/>
      <c r="AE66" s="726"/>
      <c r="AF66" s="726"/>
      <c r="AG66" s="726"/>
      <c r="AH66" s="726"/>
      <c r="AI66" s="726"/>
      <c r="AJ66" s="726"/>
      <c r="AK66" s="726"/>
      <c r="AL66" s="726"/>
      <c r="AM66" s="726"/>
      <c r="AN66" s="726"/>
      <c r="AO66" s="726"/>
      <c r="AP66" s="726"/>
      <c r="AQ66" s="726"/>
      <c r="AR66" s="726"/>
      <c r="AS66" s="726"/>
      <c r="AT66" s="726"/>
      <c r="AU66" s="726"/>
      <c r="AV66" s="726"/>
      <c r="AW66" s="726"/>
      <c r="AX66" s="726"/>
      <c r="AY66" s="726"/>
      <c r="AZ66" s="726"/>
      <c r="BA66" s="726"/>
      <c r="BB66" s="726"/>
      <c r="BC66" s="726"/>
      <c r="BD66" s="726"/>
      <c r="BE66" s="726"/>
      <c r="BF66" s="726"/>
      <c r="BG66" s="726"/>
    </row>
    <row r="67" spans="1:59" ht="13" customHeight="1" x14ac:dyDescent="0.25">
      <c r="A67" s="729" t="s">
        <v>148</v>
      </c>
      <c r="B67" s="730">
        <v>833</v>
      </c>
      <c r="C67" s="725">
        <f t="shared" si="0"/>
        <v>52.002491159928454</v>
      </c>
      <c r="D67" s="92"/>
      <c r="E67" s="726"/>
      <c r="F67" s="726"/>
      <c r="G67" s="726"/>
      <c r="H67" s="726"/>
      <c r="I67" s="746" t="s">
        <v>1515</v>
      </c>
      <c r="J67" s="747">
        <v>47</v>
      </c>
      <c r="K67" s="726"/>
      <c r="L67" s="726"/>
      <c r="M67" s="726"/>
      <c r="N67" s="726"/>
      <c r="O67" s="726"/>
      <c r="P67" s="726"/>
      <c r="Q67" s="726"/>
      <c r="R67" s="726"/>
      <c r="S67" s="726"/>
      <c r="T67" s="726"/>
      <c r="U67" s="726"/>
      <c r="V67" s="726"/>
      <c r="W67" s="726"/>
      <c r="X67" s="726"/>
      <c r="Y67" s="726"/>
      <c r="Z67" s="726"/>
      <c r="AA67" s="726"/>
      <c r="AB67" s="726"/>
      <c r="AC67" s="726"/>
      <c r="AD67" s="726"/>
      <c r="AE67" s="726"/>
      <c r="AF67" s="726"/>
      <c r="AG67" s="726"/>
      <c r="AH67" s="726"/>
      <c r="AI67" s="726"/>
      <c r="AJ67" s="726"/>
      <c r="AK67" s="726"/>
      <c r="AL67" s="726"/>
      <c r="AM67" s="726"/>
      <c r="AN67" s="726"/>
      <c r="AO67" s="726"/>
      <c r="AP67" s="726"/>
      <c r="AQ67" s="726"/>
      <c r="AR67" s="726"/>
      <c r="AS67" s="726"/>
      <c r="AT67" s="726"/>
      <c r="AU67" s="726"/>
      <c r="AV67" s="726"/>
      <c r="AW67" s="726"/>
      <c r="AX67" s="726"/>
      <c r="AY67" s="726"/>
      <c r="AZ67" s="726"/>
      <c r="BA67" s="726"/>
      <c r="BB67" s="726"/>
      <c r="BC67" s="726"/>
      <c r="BD67" s="726"/>
      <c r="BE67" s="726"/>
      <c r="BF67" s="726"/>
      <c r="BG67" s="726"/>
    </row>
    <row r="68" spans="1:59" ht="13" customHeight="1" x14ac:dyDescent="0.25">
      <c r="A68" s="729" t="s">
        <v>149</v>
      </c>
      <c r="B68" s="730">
        <v>1346</v>
      </c>
      <c r="C68" s="725">
        <f t="shared" si="0"/>
        <v>84.028034935490638</v>
      </c>
      <c r="D68" s="92"/>
      <c r="E68" s="726"/>
      <c r="F68" s="726"/>
      <c r="G68" s="726"/>
      <c r="H68" s="726"/>
      <c r="I68" s="746" t="s">
        <v>1516</v>
      </c>
      <c r="J68" s="747" t="s">
        <v>1517</v>
      </c>
      <c r="K68" s="726"/>
      <c r="L68" s="726"/>
      <c r="M68" s="726"/>
      <c r="N68" s="726"/>
      <c r="O68" s="726"/>
      <c r="P68" s="726"/>
      <c r="Q68" s="726"/>
      <c r="R68" s="726"/>
      <c r="S68" s="726"/>
      <c r="T68" s="726"/>
      <c r="U68" s="726"/>
      <c r="V68" s="726"/>
      <c r="W68" s="726"/>
      <c r="X68" s="726"/>
      <c r="Y68" s="726"/>
      <c r="Z68" s="726"/>
      <c r="AA68" s="726"/>
      <c r="AB68" s="726"/>
      <c r="AC68" s="726"/>
      <c r="AD68" s="726"/>
      <c r="AE68" s="726"/>
      <c r="AF68" s="726"/>
      <c r="AG68" s="726"/>
      <c r="AH68" s="726"/>
      <c r="AI68" s="726"/>
      <c r="AJ68" s="726"/>
      <c r="AK68" s="726"/>
      <c r="AL68" s="726"/>
      <c r="AM68" s="726"/>
      <c r="AN68" s="726"/>
      <c r="AO68" s="726"/>
      <c r="AP68" s="726"/>
      <c r="AQ68" s="726"/>
      <c r="AR68" s="726"/>
      <c r="AS68" s="726"/>
      <c r="AT68" s="726"/>
      <c r="AU68" s="726"/>
      <c r="AV68" s="726"/>
      <c r="AW68" s="726"/>
      <c r="AX68" s="726"/>
      <c r="AY68" s="726"/>
      <c r="AZ68" s="726"/>
      <c r="BA68" s="726"/>
      <c r="BB68" s="726"/>
      <c r="BC68" s="726"/>
      <c r="BD68" s="726"/>
      <c r="BE68" s="726"/>
      <c r="BF68" s="726"/>
      <c r="BG68" s="726"/>
    </row>
    <row r="69" spans="1:59" ht="13" customHeight="1" x14ac:dyDescent="0.25">
      <c r="A69" s="727" t="s">
        <v>150</v>
      </c>
      <c r="B69" s="728">
        <v>6295</v>
      </c>
      <c r="C69" s="725">
        <f t="shared" si="0"/>
        <v>392.98401182683028</v>
      </c>
      <c r="D69" s="92"/>
      <c r="E69" s="726"/>
      <c r="F69" s="726"/>
      <c r="G69" s="726"/>
      <c r="H69" s="726"/>
      <c r="I69" s="746" t="s">
        <v>1518</v>
      </c>
      <c r="J69" s="747">
        <v>83</v>
      </c>
      <c r="K69" s="726"/>
      <c r="L69" s="726"/>
      <c r="M69" s="726"/>
      <c r="N69" s="726"/>
      <c r="O69" s="726"/>
      <c r="P69" s="726"/>
      <c r="Q69" s="726"/>
      <c r="R69" s="726"/>
      <c r="S69" s="726"/>
      <c r="T69" s="726"/>
      <c r="U69" s="726"/>
      <c r="V69" s="726"/>
      <c r="W69" s="726"/>
      <c r="X69" s="726"/>
      <c r="Y69" s="726"/>
      <c r="Z69" s="726"/>
      <c r="AA69" s="726"/>
      <c r="AB69" s="726"/>
      <c r="AC69" s="726"/>
      <c r="AD69" s="726"/>
      <c r="AE69" s="726"/>
      <c r="AF69" s="726"/>
      <c r="AG69" s="726"/>
      <c r="AH69" s="726"/>
      <c r="AI69" s="726"/>
      <c r="AJ69" s="726"/>
      <c r="AK69" s="726"/>
      <c r="AL69" s="726"/>
      <c r="AM69" s="726"/>
      <c r="AN69" s="726"/>
      <c r="AO69" s="726"/>
      <c r="AP69" s="726"/>
      <c r="AQ69" s="726"/>
      <c r="AR69" s="726"/>
      <c r="AS69" s="726"/>
      <c r="AT69" s="726"/>
      <c r="AU69" s="726"/>
      <c r="AV69" s="726"/>
      <c r="AW69" s="726"/>
      <c r="AX69" s="726"/>
      <c r="AY69" s="726"/>
      <c r="AZ69" s="726"/>
      <c r="BA69" s="726"/>
      <c r="BB69" s="726"/>
      <c r="BC69" s="726"/>
      <c r="BD69" s="726"/>
      <c r="BE69" s="726"/>
      <c r="BF69" s="726"/>
      <c r="BG69" s="726"/>
    </row>
    <row r="70" spans="1:59" ht="13" customHeight="1" x14ac:dyDescent="0.25">
      <c r="A70" s="729" t="s">
        <v>151</v>
      </c>
      <c r="B70" s="730">
        <v>610</v>
      </c>
      <c r="C70" s="725">
        <f t="shared" si="0"/>
        <v>38.081055951448214</v>
      </c>
      <c r="D70" s="92"/>
      <c r="E70" s="726"/>
      <c r="F70" s="726"/>
      <c r="G70" s="726"/>
      <c r="H70" s="726"/>
      <c r="I70" s="746" t="s">
        <v>1519</v>
      </c>
      <c r="J70" s="747" t="s">
        <v>1520</v>
      </c>
      <c r="K70" s="726"/>
      <c r="L70" s="726"/>
      <c r="M70" s="726"/>
      <c r="N70" s="726"/>
      <c r="O70" s="726"/>
      <c r="P70" s="726"/>
      <c r="Q70" s="726"/>
      <c r="R70" s="726"/>
      <c r="S70" s="726"/>
      <c r="T70" s="726"/>
      <c r="U70" s="726"/>
      <c r="V70" s="726"/>
      <c r="W70" s="726"/>
      <c r="X70" s="726"/>
      <c r="Y70" s="726"/>
      <c r="Z70" s="726"/>
      <c r="AA70" s="726"/>
      <c r="AB70" s="726"/>
      <c r="AC70" s="726"/>
      <c r="AD70" s="726"/>
      <c r="AE70" s="726"/>
      <c r="AF70" s="726"/>
      <c r="AG70" s="726"/>
      <c r="AH70" s="726"/>
      <c r="AI70" s="726"/>
      <c r="AJ70" s="726"/>
      <c r="AK70" s="726"/>
      <c r="AL70" s="726"/>
      <c r="AM70" s="726"/>
      <c r="AN70" s="726"/>
      <c r="AO70" s="726"/>
      <c r="AP70" s="726"/>
      <c r="AQ70" s="726"/>
      <c r="AR70" s="726"/>
      <c r="AS70" s="726"/>
      <c r="AT70" s="726"/>
      <c r="AU70" s="726"/>
      <c r="AV70" s="726"/>
      <c r="AW70" s="726"/>
      <c r="AX70" s="726"/>
      <c r="AY70" s="726"/>
      <c r="AZ70" s="726"/>
      <c r="BA70" s="726"/>
      <c r="BB70" s="726"/>
      <c r="BC70" s="726"/>
      <c r="BD70" s="726"/>
      <c r="BE70" s="726"/>
      <c r="BF70" s="726"/>
      <c r="BG70" s="726"/>
    </row>
    <row r="71" spans="1:59" ht="13" customHeight="1" x14ac:dyDescent="0.25">
      <c r="A71" s="727" t="s">
        <v>152</v>
      </c>
      <c r="B71" s="728">
        <v>2243</v>
      </c>
      <c r="C71" s="725">
        <f t="shared" si="0"/>
        <v>140.02591557229235</v>
      </c>
      <c r="D71" s="92"/>
      <c r="E71" s="726"/>
      <c r="F71" s="726"/>
      <c r="G71" s="726"/>
      <c r="H71" s="726"/>
      <c r="I71" s="746" t="s">
        <v>1521</v>
      </c>
      <c r="J71" s="747" t="s">
        <v>1522</v>
      </c>
      <c r="K71" s="726"/>
      <c r="L71" s="726"/>
      <c r="M71" s="726"/>
      <c r="N71" s="726"/>
      <c r="O71" s="726"/>
      <c r="P71" s="726"/>
      <c r="Q71" s="726"/>
      <c r="R71" s="726"/>
      <c r="S71" s="726"/>
      <c r="T71" s="726"/>
      <c r="U71" s="726"/>
      <c r="V71" s="726"/>
      <c r="W71" s="726"/>
      <c r="X71" s="726"/>
      <c r="Y71" s="726"/>
      <c r="Z71" s="726"/>
      <c r="AA71" s="726"/>
      <c r="AB71" s="726"/>
      <c r="AC71" s="726"/>
      <c r="AD71" s="726"/>
      <c r="AE71" s="726"/>
      <c r="AF71" s="726"/>
      <c r="AG71" s="726"/>
      <c r="AH71" s="726"/>
      <c r="AI71" s="726"/>
      <c r="AJ71" s="726"/>
      <c r="AK71" s="726"/>
      <c r="AL71" s="726"/>
      <c r="AM71" s="726"/>
      <c r="AN71" s="726"/>
      <c r="AO71" s="726"/>
      <c r="AP71" s="726"/>
      <c r="AQ71" s="726"/>
      <c r="AR71" s="726"/>
      <c r="AS71" s="726"/>
      <c r="AT71" s="726"/>
      <c r="AU71" s="726"/>
      <c r="AV71" s="726"/>
      <c r="AW71" s="726"/>
      <c r="AX71" s="726"/>
      <c r="AY71" s="726"/>
      <c r="AZ71" s="726"/>
      <c r="BA71" s="726"/>
      <c r="BB71" s="726"/>
      <c r="BC71" s="726"/>
      <c r="BD71" s="726"/>
      <c r="BE71" s="726"/>
      <c r="BF71" s="726"/>
      <c r="BG71" s="726"/>
    </row>
    <row r="72" spans="1:59" ht="13" customHeight="1" x14ac:dyDescent="0.25">
      <c r="A72" s="729" t="s">
        <v>153</v>
      </c>
      <c r="B72" s="730">
        <v>2403</v>
      </c>
      <c r="C72" s="725">
        <f t="shared" si="0"/>
        <v>150.01438926447548</v>
      </c>
      <c r="D72" s="92"/>
      <c r="E72" s="726"/>
      <c r="F72" s="726"/>
      <c r="G72" s="726"/>
      <c r="H72" s="726"/>
      <c r="I72" s="746" t="s">
        <v>1523</v>
      </c>
      <c r="J72" s="747" t="s">
        <v>1480</v>
      </c>
      <c r="K72" s="726"/>
      <c r="L72" s="726"/>
      <c r="M72" s="726"/>
      <c r="N72" s="726"/>
      <c r="O72" s="726"/>
      <c r="P72" s="726"/>
      <c r="Q72" s="726"/>
      <c r="R72" s="726"/>
      <c r="S72" s="726"/>
      <c r="T72" s="726"/>
      <c r="U72" s="726"/>
      <c r="V72" s="726"/>
      <c r="W72" s="726"/>
      <c r="X72" s="726"/>
      <c r="Y72" s="726"/>
      <c r="Z72" s="726"/>
      <c r="AA72" s="726"/>
      <c r="AB72" s="726"/>
      <c r="AC72" s="726"/>
      <c r="AD72" s="726"/>
      <c r="AE72" s="726"/>
      <c r="AF72" s="726"/>
      <c r="AG72" s="726"/>
      <c r="AH72" s="726"/>
      <c r="AI72" s="726"/>
      <c r="AJ72" s="726"/>
      <c r="AK72" s="726"/>
      <c r="AL72" s="726"/>
      <c r="AM72" s="726"/>
      <c r="AN72" s="726"/>
      <c r="AO72" s="726"/>
      <c r="AP72" s="726"/>
      <c r="AQ72" s="726"/>
      <c r="AR72" s="726"/>
      <c r="AS72" s="726"/>
      <c r="AT72" s="726"/>
      <c r="AU72" s="726"/>
      <c r="AV72" s="726"/>
      <c r="AW72" s="726"/>
      <c r="AX72" s="726"/>
      <c r="AY72" s="726"/>
      <c r="AZ72" s="726"/>
      <c r="BA72" s="726"/>
      <c r="BB72" s="726"/>
      <c r="BC72" s="726"/>
      <c r="BD72" s="726"/>
      <c r="BE72" s="726"/>
      <c r="BF72" s="726"/>
      <c r="BG72" s="726"/>
    </row>
    <row r="73" spans="1:59" ht="13" customHeight="1" x14ac:dyDescent="0.25">
      <c r="A73" s="727" t="s">
        <v>154</v>
      </c>
      <c r="B73" s="728">
        <v>2371</v>
      </c>
      <c r="C73" s="725">
        <f t="shared" si="0"/>
        <v>148.01669452603886</v>
      </c>
      <c r="D73" s="92"/>
      <c r="E73" s="726"/>
      <c r="F73" s="726"/>
      <c r="G73" s="726"/>
      <c r="H73" s="726"/>
      <c r="I73" s="746" t="s">
        <v>1524</v>
      </c>
      <c r="J73" s="747" t="s">
        <v>1525</v>
      </c>
      <c r="K73" s="726"/>
      <c r="L73" s="726"/>
      <c r="M73" s="726"/>
      <c r="N73" s="726"/>
      <c r="O73" s="726"/>
      <c r="P73" s="726"/>
      <c r="Q73" s="726"/>
      <c r="R73" s="726"/>
      <c r="S73" s="726"/>
      <c r="T73" s="726"/>
      <c r="U73" s="726"/>
      <c r="V73" s="726"/>
      <c r="W73" s="726"/>
      <c r="X73" s="726"/>
      <c r="Y73" s="726"/>
      <c r="Z73" s="726"/>
      <c r="AA73" s="726"/>
      <c r="AB73" s="726"/>
      <c r="AC73" s="726"/>
      <c r="AD73" s="726"/>
      <c r="AE73" s="726"/>
      <c r="AF73" s="726"/>
      <c r="AG73" s="726"/>
      <c r="AH73" s="726"/>
      <c r="AI73" s="726"/>
      <c r="AJ73" s="726"/>
      <c r="AK73" s="726"/>
      <c r="AL73" s="726"/>
      <c r="AM73" s="726"/>
      <c r="AN73" s="726"/>
      <c r="AO73" s="726"/>
      <c r="AP73" s="726"/>
      <c r="AQ73" s="726"/>
      <c r="AR73" s="726"/>
      <c r="AS73" s="726"/>
      <c r="AT73" s="726"/>
      <c r="AU73" s="726"/>
      <c r="AV73" s="726"/>
      <c r="AW73" s="726"/>
      <c r="AX73" s="726"/>
      <c r="AY73" s="726"/>
      <c r="AZ73" s="726"/>
      <c r="BA73" s="726"/>
      <c r="BB73" s="726"/>
      <c r="BC73" s="726"/>
      <c r="BD73" s="726"/>
      <c r="BE73" s="726"/>
      <c r="BF73" s="726"/>
      <c r="BG73" s="726"/>
    </row>
    <row r="74" spans="1:59" ht="13" customHeight="1" x14ac:dyDescent="0.25">
      <c r="A74" s="729" t="s">
        <v>155</v>
      </c>
      <c r="B74" s="730">
        <v>2265</v>
      </c>
      <c r="C74" s="725">
        <f t="shared" si="0"/>
        <v>141.39933070496753</v>
      </c>
      <c r="D74" s="747">
        <v>117</v>
      </c>
      <c r="E74" s="726"/>
      <c r="F74" s="726"/>
      <c r="G74" s="726"/>
      <c r="H74" s="726"/>
      <c r="I74" s="746"/>
      <c r="J74" s="747"/>
      <c r="K74" s="726"/>
      <c r="L74" s="726"/>
      <c r="M74" s="726"/>
      <c r="N74" s="726"/>
      <c r="O74" s="726"/>
      <c r="P74" s="726"/>
      <c r="Q74" s="726"/>
      <c r="R74" s="726"/>
      <c r="S74" s="726"/>
      <c r="T74" s="726"/>
      <c r="U74" s="726"/>
      <c r="V74" s="726"/>
      <c r="W74" s="726"/>
      <c r="X74" s="726"/>
      <c r="Y74" s="726"/>
      <c r="Z74" s="726"/>
      <c r="AA74" s="726"/>
      <c r="AB74" s="726"/>
      <c r="AC74" s="726"/>
      <c r="AD74" s="726"/>
      <c r="AE74" s="726"/>
      <c r="AF74" s="726"/>
      <c r="AG74" s="726"/>
      <c r="AH74" s="726"/>
      <c r="AI74" s="726"/>
      <c r="AJ74" s="726"/>
      <c r="AK74" s="726"/>
      <c r="AL74" s="726"/>
      <c r="AM74" s="726"/>
      <c r="AN74" s="726"/>
      <c r="AO74" s="726"/>
      <c r="AP74" s="726"/>
      <c r="AQ74" s="726"/>
      <c r="AR74" s="726"/>
      <c r="AS74" s="726"/>
      <c r="AT74" s="726"/>
      <c r="AU74" s="726"/>
      <c r="AV74" s="726"/>
      <c r="AW74" s="726"/>
      <c r="AX74" s="726"/>
      <c r="AY74" s="726"/>
      <c r="AZ74" s="726"/>
      <c r="BA74" s="726"/>
      <c r="BB74" s="726"/>
      <c r="BC74" s="726"/>
      <c r="BD74" s="726"/>
      <c r="BE74" s="726"/>
      <c r="BF74" s="726"/>
      <c r="BG74" s="726"/>
    </row>
    <row r="75" spans="1:59" ht="13" customHeight="1" x14ac:dyDescent="0.25">
      <c r="A75" s="719" t="s">
        <v>156</v>
      </c>
      <c r="B75" s="732">
        <v>3604</v>
      </c>
      <c r="C75" s="725">
        <f t="shared" si="0"/>
        <v>224.99036991642515</v>
      </c>
      <c r="D75" s="92"/>
      <c r="E75" s="726"/>
      <c r="F75" s="726"/>
      <c r="G75" s="726"/>
      <c r="H75" s="726"/>
      <c r="I75" s="28"/>
      <c r="J75" s="92"/>
      <c r="K75" s="726"/>
      <c r="L75" s="726"/>
      <c r="M75" s="726"/>
      <c r="N75" s="726"/>
      <c r="O75" s="726"/>
      <c r="P75" s="726"/>
      <c r="Q75" s="726"/>
      <c r="R75" s="726"/>
      <c r="S75" s="726"/>
      <c r="T75" s="726"/>
      <c r="U75" s="726"/>
      <c r="V75" s="726"/>
      <c r="W75" s="726"/>
      <c r="X75" s="726"/>
      <c r="Y75" s="726"/>
      <c r="Z75" s="726"/>
      <c r="AA75" s="726"/>
      <c r="AB75" s="726"/>
      <c r="AC75" s="726"/>
      <c r="AD75" s="726"/>
      <c r="AE75" s="726"/>
      <c r="AF75" s="726"/>
      <c r="AG75" s="726"/>
      <c r="AH75" s="726"/>
      <c r="AI75" s="726"/>
      <c r="AJ75" s="726"/>
      <c r="AK75" s="726"/>
      <c r="AL75" s="726"/>
      <c r="AM75" s="726"/>
      <c r="AN75" s="726"/>
      <c r="AO75" s="726"/>
      <c r="AP75" s="726"/>
      <c r="AQ75" s="726"/>
      <c r="AR75" s="726"/>
      <c r="AS75" s="726"/>
      <c r="AT75" s="726"/>
      <c r="AU75" s="726"/>
      <c r="AV75" s="726"/>
      <c r="AW75" s="726"/>
      <c r="AX75" s="726"/>
      <c r="AY75" s="726"/>
      <c r="AZ75" s="726"/>
      <c r="BA75" s="726"/>
      <c r="BB75" s="726"/>
      <c r="BC75" s="726"/>
      <c r="BD75" s="726"/>
      <c r="BE75" s="726"/>
      <c r="BF75" s="726"/>
      <c r="BG75" s="726"/>
    </row>
    <row r="76" spans="1:59" ht="13" customHeight="1" x14ac:dyDescent="0.25">
      <c r="A76" s="729" t="s">
        <v>76</v>
      </c>
      <c r="B76" s="730">
        <v>950</v>
      </c>
      <c r="C76" s="725">
        <f t="shared" si="0"/>
        <v>59.306562547337371</v>
      </c>
      <c r="D76" s="92"/>
      <c r="E76" s="726"/>
      <c r="F76" s="726"/>
      <c r="G76" s="726"/>
      <c r="H76" s="726"/>
      <c r="I76" s="28"/>
      <c r="J76" s="92"/>
      <c r="K76" s="726"/>
      <c r="L76" s="726"/>
      <c r="M76" s="726"/>
      <c r="N76" s="726"/>
      <c r="O76" s="726"/>
      <c r="P76" s="726"/>
      <c r="Q76" s="726"/>
      <c r="R76" s="726"/>
      <c r="S76" s="726"/>
      <c r="T76" s="726"/>
      <c r="U76" s="726"/>
      <c r="V76" s="726"/>
      <c r="W76" s="726"/>
      <c r="X76" s="726"/>
      <c r="Y76" s="726"/>
      <c r="Z76" s="726"/>
      <c r="AA76" s="726"/>
      <c r="AB76" s="726"/>
      <c r="AC76" s="726"/>
      <c r="AD76" s="726"/>
      <c r="AE76" s="726"/>
      <c r="AF76" s="726"/>
      <c r="AG76" s="726"/>
      <c r="AH76" s="726"/>
      <c r="AI76" s="726"/>
      <c r="AJ76" s="726"/>
      <c r="AK76" s="726"/>
      <c r="AL76" s="726"/>
      <c r="AM76" s="726"/>
      <c r="AN76" s="726"/>
      <c r="AO76" s="726"/>
      <c r="AP76" s="726"/>
      <c r="AQ76" s="726"/>
      <c r="AR76" s="726"/>
      <c r="AS76" s="726"/>
      <c r="AT76" s="726"/>
      <c r="AU76" s="726"/>
      <c r="AV76" s="726"/>
      <c r="AW76" s="726"/>
      <c r="AX76" s="726"/>
      <c r="AY76" s="726"/>
      <c r="AZ76" s="726"/>
      <c r="BA76" s="726"/>
      <c r="BB76" s="726"/>
      <c r="BC76" s="726"/>
      <c r="BD76" s="726"/>
      <c r="BE76" s="726"/>
      <c r="BF76" s="726"/>
      <c r="BG76" s="726"/>
    </row>
    <row r="77" spans="1:59" ht="13" customHeight="1" x14ac:dyDescent="0.25">
      <c r="A77" s="727" t="s">
        <v>157</v>
      </c>
      <c r="B77" s="728">
        <v>160</v>
      </c>
      <c r="C77" s="725">
        <f t="shared" si="0"/>
        <v>9.9884736921831365</v>
      </c>
      <c r="D77" s="92"/>
      <c r="E77" s="726"/>
      <c r="F77" s="726"/>
      <c r="G77" s="726"/>
      <c r="H77" s="726"/>
      <c r="I77" s="28"/>
      <c r="J77" s="92"/>
      <c r="K77" s="726"/>
      <c r="L77" s="726"/>
      <c r="M77" s="726"/>
      <c r="N77" s="726"/>
      <c r="O77" s="726"/>
      <c r="P77" s="726"/>
      <c r="Q77" s="726"/>
      <c r="R77" s="726"/>
      <c r="S77" s="726"/>
      <c r="T77" s="726"/>
      <c r="U77" s="726"/>
      <c r="V77" s="726"/>
      <c r="W77" s="726"/>
      <c r="X77" s="726"/>
      <c r="Y77" s="726"/>
      <c r="Z77" s="726"/>
      <c r="AA77" s="726"/>
      <c r="AB77" s="726"/>
      <c r="AC77" s="726"/>
      <c r="AD77" s="726"/>
      <c r="AE77" s="726"/>
      <c r="AF77" s="726"/>
      <c r="AG77" s="726"/>
      <c r="AH77" s="726"/>
      <c r="AI77" s="726"/>
      <c r="AJ77" s="726"/>
      <c r="AK77" s="726"/>
      <c r="AL77" s="726"/>
      <c r="AM77" s="726"/>
      <c r="AN77" s="726"/>
      <c r="AO77" s="726"/>
      <c r="AP77" s="726"/>
      <c r="AQ77" s="726"/>
      <c r="AR77" s="726"/>
      <c r="AS77" s="726"/>
      <c r="AT77" s="726"/>
      <c r="AU77" s="726"/>
      <c r="AV77" s="726"/>
      <c r="AW77" s="726"/>
      <c r="AX77" s="726"/>
      <c r="AY77" s="726"/>
      <c r="AZ77" s="726"/>
      <c r="BA77" s="726"/>
      <c r="BB77" s="726"/>
      <c r="BC77" s="726"/>
      <c r="BD77" s="726"/>
      <c r="BE77" s="726"/>
      <c r="BF77" s="726"/>
      <c r="BG77" s="726"/>
    </row>
    <row r="78" spans="1:59" x14ac:dyDescent="0.25">
      <c r="A78" s="727" t="s">
        <v>158</v>
      </c>
      <c r="B78" s="728">
        <v>240</v>
      </c>
      <c r="C78" s="725">
        <f t="shared" si="0"/>
        <v>14.982710538274706</v>
      </c>
      <c r="D78" s="92"/>
      <c r="E78" s="726"/>
      <c r="F78" s="726"/>
      <c r="G78" s="726"/>
      <c r="H78" s="726"/>
      <c r="I78" s="28"/>
      <c r="J78" s="92"/>
      <c r="K78" s="726"/>
      <c r="L78" s="726"/>
      <c r="M78" s="726"/>
      <c r="N78" s="726"/>
      <c r="O78" s="726"/>
      <c r="P78" s="726"/>
      <c r="Q78" s="726"/>
      <c r="R78" s="726"/>
      <c r="S78" s="726"/>
      <c r="T78" s="726"/>
      <c r="U78" s="726"/>
      <c r="V78" s="726"/>
      <c r="W78" s="726"/>
      <c r="X78" s="726"/>
      <c r="Y78" s="726"/>
      <c r="Z78" s="726"/>
      <c r="AA78" s="726"/>
      <c r="AB78" s="726"/>
      <c r="AC78" s="726"/>
      <c r="AD78" s="726"/>
      <c r="AE78" s="726"/>
      <c r="AF78" s="726"/>
      <c r="AG78" s="726"/>
      <c r="AH78" s="726"/>
      <c r="AI78" s="726"/>
      <c r="AJ78" s="726"/>
      <c r="AK78" s="726"/>
      <c r="AL78" s="726"/>
      <c r="AM78" s="726"/>
      <c r="AN78" s="726"/>
      <c r="AO78" s="726"/>
      <c r="AP78" s="726"/>
      <c r="AQ78" s="726"/>
      <c r="AR78" s="726"/>
      <c r="AS78" s="726"/>
      <c r="AT78" s="726"/>
      <c r="AU78" s="726"/>
      <c r="AV78" s="726"/>
      <c r="AW78" s="726"/>
      <c r="AX78" s="726"/>
      <c r="AY78" s="726"/>
      <c r="AZ78" s="726"/>
      <c r="BA78" s="726"/>
      <c r="BB78" s="726"/>
      <c r="BC78" s="726"/>
      <c r="BD78" s="726"/>
      <c r="BE78" s="726"/>
      <c r="BF78" s="726"/>
      <c r="BG78" s="726"/>
    </row>
    <row r="79" spans="1:59" ht="13" customHeight="1" x14ac:dyDescent="0.25">
      <c r="A79" s="727" t="s">
        <v>159</v>
      </c>
      <c r="B79" s="728">
        <v>673</v>
      </c>
      <c r="C79" s="725">
        <f t="shared" si="0"/>
        <v>42.014017467745319</v>
      </c>
      <c r="D79" s="92"/>
      <c r="E79" s="726"/>
      <c r="F79" s="726"/>
      <c r="G79" s="726"/>
      <c r="H79" s="726"/>
      <c r="I79" s="28"/>
      <c r="J79" s="92"/>
      <c r="K79" s="726"/>
      <c r="L79" s="726"/>
      <c r="M79" s="726"/>
      <c r="N79" s="726"/>
      <c r="O79" s="726"/>
      <c r="P79" s="726"/>
      <c r="Q79" s="726"/>
      <c r="R79" s="726"/>
      <c r="S79" s="726"/>
      <c r="T79" s="726"/>
      <c r="U79" s="726"/>
      <c r="V79" s="726"/>
      <c r="W79" s="726"/>
      <c r="X79" s="726"/>
      <c r="Y79" s="726"/>
      <c r="Z79" s="726"/>
      <c r="AA79" s="726"/>
      <c r="AB79" s="726"/>
      <c r="AC79" s="726"/>
      <c r="AD79" s="726"/>
      <c r="AE79" s="726"/>
      <c r="AF79" s="726"/>
      <c r="AG79" s="726"/>
      <c r="AH79" s="726"/>
      <c r="AI79" s="726"/>
      <c r="AJ79" s="726"/>
      <c r="AK79" s="726"/>
      <c r="AL79" s="726"/>
      <c r="AM79" s="726"/>
      <c r="AN79" s="726"/>
      <c r="AO79" s="726"/>
      <c r="AP79" s="726"/>
      <c r="AQ79" s="726"/>
      <c r="AR79" s="726"/>
      <c r="AS79" s="726"/>
      <c r="AT79" s="726"/>
      <c r="AU79" s="726"/>
      <c r="AV79" s="726"/>
      <c r="AW79" s="726"/>
      <c r="AX79" s="726"/>
      <c r="AY79" s="726"/>
      <c r="AZ79" s="726"/>
      <c r="BA79" s="726"/>
      <c r="BB79" s="726"/>
      <c r="BC79" s="726"/>
      <c r="BD79" s="726"/>
      <c r="BE79" s="726"/>
      <c r="BF79" s="726"/>
      <c r="BG79" s="726"/>
    </row>
    <row r="80" spans="1:59" x14ac:dyDescent="0.25">
      <c r="A80" s="729" t="s">
        <v>160</v>
      </c>
      <c r="B80" s="730">
        <v>721</v>
      </c>
      <c r="C80" s="725">
        <f t="shared" si="0"/>
        <v>45.010559575400265</v>
      </c>
      <c r="D80" s="92"/>
      <c r="E80" s="726"/>
      <c r="F80" s="726"/>
      <c r="G80" s="726"/>
      <c r="H80" s="726"/>
      <c r="I80" s="28"/>
      <c r="J80" s="92"/>
      <c r="K80" s="726"/>
      <c r="L80" s="726"/>
      <c r="M80" s="726"/>
      <c r="N80" s="726"/>
      <c r="O80" s="726"/>
      <c r="P80" s="726"/>
      <c r="Q80" s="726"/>
      <c r="R80" s="726"/>
      <c r="S80" s="726"/>
      <c r="T80" s="726"/>
      <c r="U80" s="726"/>
      <c r="V80" s="726"/>
      <c r="W80" s="726"/>
      <c r="X80" s="726"/>
      <c r="Y80" s="726"/>
      <c r="Z80" s="726"/>
      <c r="AA80" s="726"/>
      <c r="AB80" s="726"/>
      <c r="AC80" s="726"/>
      <c r="AD80" s="726"/>
      <c r="AE80" s="726"/>
      <c r="AF80" s="726"/>
      <c r="AG80" s="726"/>
      <c r="AH80" s="726"/>
      <c r="AI80" s="726"/>
      <c r="AJ80" s="726"/>
      <c r="AK80" s="726"/>
      <c r="AL80" s="726"/>
      <c r="AM80" s="726"/>
      <c r="AN80" s="726"/>
      <c r="AO80" s="726"/>
      <c r="AP80" s="726"/>
      <c r="AQ80" s="726"/>
      <c r="AR80" s="726"/>
      <c r="AS80" s="726"/>
      <c r="AT80" s="726"/>
      <c r="AU80" s="726"/>
      <c r="AV80" s="726"/>
      <c r="AW80" s="726"/>
      <c r="AX80" s="726"/>
      <c r="AY80" s="726"/>
      <c r="AZ80" s="726"/>
      <c r="BA80" s="726"/>
      <c r="BB80" s="726"/>
      <c r="BC80" s="726"/>
      <c r="BD80" s="726"/>
      <c r="BE80" s="726"/>
      <c r="BF80" s="726"/>
      <c r="BG80" s="726"/>
    </row>
    <row r="81" spans="1:59" x14ac:dyDescent="0.25">
      <c r="A81" s="727" t="s">
        <v>161</v>
      </c>
      <c r="B81" s="728">
        <v>721</v>
      </c>
      <c r="C81" s="725">
        <f t="shared" si="0"/>
        <v>45.010559575400265</v>
      </c>
      <c r="D81" s="92"/>
      <c r="E81" s="726"/>
      <c r="F81" s="726"/>
      <c r="G81" s="726"/>
      <c r="H81" s="726"/>
      <c r="I81" s="28"/>
      <c r="J81" s="92"/>
      <c r="K81" s="726"/>
      <c r="L81" s="726"/>
      <c r="M81" s="726"/>
      <c r="N81" s="726"/>
      <c r="O81" s="726"/>
      <c r="P81" s="726"/>
      <c r="Q81" s="726"/>
      <c r="R81" s="726"/>
      <c r="S81" s="726"/>
      <c r="T81" s="726"/>
      <c r="U81" s="726"/>
      <c r="V81" s="726"/>
      <c r="W81" s="726"/>
      <c r="X81" s="726"/>
      <c r="Y81" s="726"/>
      <c r="Z81" s="726"/>
      <c r="AA81" s="726"/>
      <c r="AB81" s="726"/>
      <c r="AC81" s="726"/>
      <c r="AD81" s="726"/>
      <c r="AE81" s="726"/>
      <c r="AF81" s="726"/>
      <c r="AG81" s="726"/>
      <c r="AH81" s="726"/>
      <c r="AI81" s="726"/>
      <c r="AJ81" s="726"/>
      <c r="AK81" s="726"/>
      <c r="AL81" s="726"/>
      <c r="AM81" s="726"/>
      <c r="AN81" s="726"/>
      <c r="AO81" s="726"/>
      <c r="AP81" s="726"/>
      <c r="AQ81" s="726"/>
      <c r="AR81" s="726"/>
      <c r="AS81" s="726"/>
      <c r="AT81" s="726"/>
      <c r="AU81" s="726"/>
      <c r="AV81" s="726"/>
      <c r="AW81" s="726"/>
      <c r="AX81" s="726"/>
      <c r="AY81" s="726"/>
      <c r="AZ81" s="726"/>
      <c r="BA81" s="726"/>
      <c r="BB81" s="726"/>
      <c r="BC81" s="726"/>
      <c r="BD81" s="726"/>
      <c r="BE81" s="726"/>
      <c r="BF81" s="726"/>
      <c r="BG81" s="726"/>
    </row>
    <row r="82" spans="1:59" x14ac:dyDescent="0.25">
      <c r="A82" s="729" t="s">
        <v>162</v>
      </c>
      <c r="B82" s="730">
        <v>1602</v>
      </c>
      <c r="C82" s="725">
        <f t="shared" ref="C82:C146" si="2">(B82*(2.20462262184877))/35.3146667214885</f>
        <v>100.00959284298365</v>
      </c>
      <c r="D82" s="92"/>
      <c r="E82" s="726"/>
      <c r="F82" s="726"/>
      <c r="G82" s="726"/>
      <c r="H82" s="726"/>
      <c r="I82" s="28"/>
      <c r="J82" s="92"/>
      <c r="K82" s="726"/>
      <c r="L82" s="726"/>
      <c r="M82" s="726"/>
      <c r="N82" s="726"/>
      <c r="O82" s="726"/>
      <c r="P82" s="726"/>
      <c r="Q82" s="726"/>
      <c r="R82" s="726"/>
      <c r="S82" s="726"/>
      <c r="T82" s="726"/>
      <c r="U82" s="726"/>
      <c r="V82" s="726"/>
      <c r="W82" s="726"/>
      <c r="X82" s="726"/>
      <c r="Y82" s="726"/>
      <c r="Z82" s="726"/>
      <c r="AA82" s="726"/>
      <c r="AB82" s="726"/>
      <c r="AC82" s="726"/>
      <c r="AD82" s="726"/>
      <c r="AE82" s="726"/>
      <c r="AF82" s="726"/>
      <c r="AG82" s="726"/>
      <c r="AH82" s="726"/>
      <c r="AI82" s="726"/>
      <c r="AJ82" s="726"/>
      <c r="AK82" s="726"/>
      <c r="AL82" s="726"/>
      <c r="AM82" s="726"/>
      <c r="AN82" s="726"/>
      <c r="AO82" s="726"/>
      <c r="AP82" s="726"/>
      <c r="AQ82" s="726"/>
      <c r="AR82" s="726"/>
      <c r="AS82" s="726"/>
      <c r="AT82" s="726"/>
      <c r="AU82" s="726"/>
      <c r="AV82" s="726"/>
      <c r="AW82" s="726"/>
      <c r="AX82" s="726"/>
      <c r="AY82" s="726"/>
      <c r="AZ82" s="726"/>
      <c r="BA82" s="726"/>
      <c r="BB82" s="726"/>
      <c r="BC82" s="726"/>
      <c r="BD82" s="726"/>
      <c r="BE82" s="726"/>
      <c r="BF82" s="726"/>
      <c r="BG82" s="726"/>
    </row>
    <row r="83" spans="1:59" x14ac:dyDescent="0.25">
      <c r="A83" s="727" t="s">
        <v>163</v>
      </c>
      <c r="B83" s="728">
        <v>1602</v>
      </c>
      <c r="C83" s="725">
        <f t="shared" si="2"/>
        <v>100.00959284298365</v>
      </c>
      <c r="D83" s="92"/>
      <c r="E83" s="726"/>
      <c r="F83" s="726"/>
      <c r="G83" s="726"/>
      <c r="H83" s="726"/>
      <c r="I83" s="28"/>
      <c r="J83" s="92"/>
      <c r="K83" s="726"/>
      <c r="L83" s="726"/>
      <c r="M83" s="726"/>
      <c r="N83" s="726"/>
      <c r="O83" s="726"/>
      <c r="P83" s="726"/>
      <c r="Q83" s="726"/>
      <c r="R83" s="726"/>
      <c r="S83" s="726"/>
      <c r="T83" s="726"/>
      <c r="U83" s="726"/>
      <c r="V83" s="726"/>
      <c r="W83" s="726"/>
      <c r="X83" s="726"/>
      <c r="Y83" s="726"/>
      <c r="Z83" s="726"/>
      <c r="AA83" s="726"/>
      <c r="AB83" s="726"/>
      <c r="AC83" s="726"/>
      <c r="AD83" s="726"/>
      <c r="AE83" s="726"/>
      <c r="AF83" s="726"/>
      <c r="AG83" s="726"/>
      <c r="AH83" s="726"/>
      <c r="AI83" s="726"/>
      <c r="AJ83" s="726"/>
      <c r="AK83" s="726"/>
      <c r="AL83" s="726"/>
      <c r="AM83" s="726"/>
      <c r="AN83" s="726"/>
      <c r="AO83" s="726"/>
      <c r="AP83" s="726"/>
      <c r="AQ83" s="726"/>
      <c r="AR83" s="726"/>
      <c r="AS83" s="726"/>
      <c r="AT83" s="726"/>
      <c r="AU83" s="726"/>
      <c r="AV83" s="726"/>
      <c r="AW83" s="726"/>
      <c r="AX83" s="726"/>
      <c r="AY83" s="726"/>
      <c r="AZ83" s="726"/>
      <c r="BA83" s="726"/>
      <c r="BB83" s="726"/>
      <c r="BC83" s="726"/>
      <c r="BD83" s="726"/>
      <c r="BE83" s="726"/>
      <c r="BF83" s="726"/>
      <c r="BG83" s="726"/>
    </row>
    <row r="84" spans="1:59" s="14" customFormat="1" ht="13" x14ac:dyDescent="0.3">
      <c r="A84" s="738" t="s">
        <v>1439</v>
      </c>
      <c r="B84" s="739" t="s">
        <v>30</v>
      </c>
      <c r="C84" s="740" t="s">
        <v>37</v>
      </c>
      <c r="E84" s="733"/>
      <c r="F84" s="733"/>
      <c r="G84" s="733"/>
      <c r="H84" s="733"/>
      <c r="K84" s="733"/>
      <c r="L84" s="733"/>
      <c r="M84" s="733"/>
      <c r="N84" s="733"/>
      <c r="O84" s="733"/>
      <c r="P84" s="733"/>
      <c r="Q84" s="733"/>
      <c r="R84" s="733"/>
      <c r="S84" s="733"/>
      <c r="T84" s="733"/>
      <c r="U84" s="733"/>
      <c r="V84" s="733"/>
      <c r="W84" s="733"/>
      <c r="X84" s="733"/>
      <c r="Y84" s="733"/>
      <c r="Z84" s="733"/>
      <c r="AA84" s="733"/>
      <c r="AB84" s="733"/>
      <c r="AC84" s="733"/>
      <c r="AD84" s="733"/>
      <c r="AE84" s="733"/>
      <c r="AF84" s="733"/>
      <c r="AG84" s="733"/>
      <c r="AH84" s="733"/>
      <c r="AI84" s="733"/>
      <c r="AJ84" s="733"/>
      <c r="AK84" s="733"/>
      <c r="AL84" s="733"/>
      <c r="AM84" s="733"/>
      <c r="AN84" s="733"/>
      <c r="AO84" s="733"/>
      <c r="AP84" s="733"/>
      <c r="AQ84" s="733"/>
      <c r="AR84" s="733"/>
      <c r="AS84" s="733"/>
      <c r="AT84" s="733"/>
      <c r="AU84" s="733"/>
      <c r="AV84" s="733"/>
      <c r="AW84" s="733"/>
      <c r="AX84" s="733"/>
      <c r="AY84" s="733"/>
      <c r="AZ84" s="733"/>
      <c r="BA84" s="733"/>
      <c r="BB84" s="733"/>
      <c r="BC84" s="733"/>
      <c r="BD84" s="733"/>
      <c r="BE84" s="733"/>
      <c r="BF84" s="733"/>
      <c r="BG84" s="733"/>
    </row>
    <row r="85" spans="1:59" x14ac:dyDescent="0.25">
      <c r="A85" s="729" t="s">
        <v>164</v>
      </c>
      <c r="B85" s="730">
        <v>753</v>
      </c>
      <c r="C85" s="725">
        <f t="shared" si="2"/>
        <v>47.008254313836886</v>
      </c>
      <c r="D85" s="92"/>
      <c r="E85" s="726"/>
      <c r="F85" s="726"/>
      <c r="G85" s="726"/>
      <c r="H85" s="726"/>
      <c r="I85" s="28"/>
      <c r="J85" s="92"/>
      <c r="K85" s="726"/>
      <c r="L85" s="726"/>
      <c r="M85" s="726"/>
      <c r="N85" s="726"/>
      <c r="O85" s="726"/>
      <c r="P85" s="726"/>
      <c r="Q85" s="726"/>
      <c r="R85" s="726"/>
      <c r="S85" s="726"/>
      <c r="T85" s="726"/>
      <c r="U85" s="726"/>
      <c r="V85" s="726"/>
      <c r="W85" s="726"/>
      <c r="X85" s="726"/>
      <c r="Y85" s="726"/>
      <c r="Z85" s="726"/>
      <c r="AA85" s="726"/>
      <c r="AB85" s="726"/>
      <c r="AC85" s="726"/>
      <c r="AD85" s="726"/>
      <c r="AE85" s="726"/>
      <c r="AF85" s="726"/>
      <c r="AG85" s="726"/>
      <c r="AH85" s="726"/>
      <c r="AI85" s="726"/>
      <c r="AJ85" s="726"/>
      <c r="AK85" s="726"/>
      <c r="AL85" s="726"/>
      <c r="AM85" s="726"/>
      <c r="AN85" s="726"/>
      <c r="AO85" s="726"/>
      <c r="AP85" s="726"/>
      <c r="AQ85" s="726"/>
      <c r="AR85" s="726"/>
      <c r="AS85" s="726"/>
      <c r="AT85" s="726"/>
      <c r="AU85" s="726"/>
      <c r="AV85" s="726"/>
      <c r="AW85" s="726"/>
      <c r="AX85" s="726"/>
      <c r="AY85" s="726"/>
      <c r="AZ85" s="726"/>
      <c r="BA85" s="726"/>
      <c r="BB85" s="726"/>
      <c r="BC85" s="726"/>
      <c r="BD85" s="726"/>
      <c r="BE85" s="726"/>
      <c r="BF85" s="726"/>
      <c r="BG85" s="726"/>
    </row>
    <row r="86" spans="1:59" x14ac:dyDescent="0.25">
      <c r="A86" s="727" t="s">
        <v>165</v>
      </c>
      <c r="B86" s="728">
        <v>1522</v>
      </c>
      <c r="C86" s="725">
        <f t="shared" si="2"/>
        <v>95.015355996892083</v>
      </c>
      <c r="D86" s="92"/>
      <c r="E86" s="726"/>
      <c r="F86" s="726"/>
      <c r="G86" s="726"/>
      <c r="H86" s="726"/>
      <c r="I86" s="28"/>
      <c r="J86" s="92"/>
      <c r="K86" s="726"/>
      <c r="L86" s="726"/>
      <c r="M86" s="726"/>
      <c r="N86" s="726"/>
      <c r="O86" s="726"/>
      <c r="P86" s="726"/>
      <c r="Q86" s="726"/>
      <c r="R86" s="726"/>
      <c r="S86" s="726"/>
      <c r="T86" s="726"/>
      <c r="U86" s="726"/>
      <c r="V86" s="726"/>
      <c r="W86" s="726"/>
      <c r="X86" s="726"/>
      <c r="Y86" s="726"/>
      <c r="Z86" s="726"/>
      <c r="AA86" s="726"/>
      <c r="AB86" s="726"/>
      <c r="AC86" s="726"/>
      <c r="AD86" s="726"/>
      <c r="AE86" s="726"/>
      <c r="AF86" s="726"/>
      <c r="AG86" s="726"/>
      <c r="AH86" s="726"/>
      <c r="AI86" s="726"/>
      <c r="AJ86" s="726"/>
      <c r="AK86" s="726"/>
      <c r="AL86" s="726"/>
      <c r="AM86" s="726"/>
      <c r="AN86" s="726"/>
      <c r="AO86" s="726"/>
      <c r="AP86" s="726"/>
      <c r="AQ86" s="726"/>
      <c r="AR86" s="726"/>
      <c r="AS86" s="726"/>
      <c r="AT86" s="726"/>
      <c r="AU86" s="726"/>
      <c r="AV86" s="726"/>
      <c r="AW86" s="726"/>
      <c r="AX86" s="726"/>
      <c r="AY86" s="726"/>
      <c r="AZ86" s="726"/>
      <c r="BA86" s="726"/>
      <c r="BB86" s="726"/>
      <c r="BC86" s="726"/>
      <c r="BD86" s="726"/>
      <c r="BE86" s="726"/>
      <c r="BF86" s="726"/>
      <c r="BG86" s="726"/>
    </row>
    <row r="87" spans="1:59" x14ac:dyDescent="0.25">
      <c r="A87" s="729" t="s">
        <v>166</v>
      </c>
      <c r="B87" s="730">
        <v>737</v>
      </c>
      <c r="C87" s="725">
        <f t="shared" si="2"/>
        <v>46.009406944618569</v>
      </c>
      <c r="D87" s="92"/>
      <c r="E87" s="726"/>
      <c r="F87" s="726"/>
      <c r="G87" s="726"/>
      <c r="H87" s="726"/>
      <c r="I87" s="28"/>
      <c r="J87" s="92"/>
      <c r="K87" s="726"/>
      <c r="L87" s="726"/>
      <c r="M87" s="726"/>
      <c r="N87" s="726"/>
      <c r="O87" s="726"/>
      <c r="P87" s="726"/>
      <c r="Q87" s="726"/>
      <c r="R87" s="726"/>
      <c r="S87" s="726"/>
      <c r="T87" s="726"/>
      <c r="U87" s="726"/>
      <c r="V87" s="726"/>
      <c r="W87" s="726"/>
      <c r="X87" s="726"/>
      <c r="Y87" s="726"/>
      <c r="Z87" s="726"/>
      <c r="AA87" s="726"/>
      <c r="AB87" s="726"/>
      <c r="AC87" s="726"/>
      <c r="AD87" s="726"/>
      <c r="AE87" s="726"/>
      <c r="AF87" s="726"/>
      <c r="AG87" s="726"/>
      <c r="AH87" s="726"/>
      <c r="AI87" s="726"/>
      <c r="AJ87" s="726"/>
      <c r="AK87" s="726"/>
      <c r="AL87" s="726"/>
      <c r="AM87" s="726"/>
      <c r="AN87" s="726"/>
      <c r="AO87" s="726"/>
      <c r="AP87" s="726"/>
      <c r="AQ87" s="726"/>
      <c r="AR87" s="726"/>
      <c r="AS87" s="726"/>
      <c r="AT87" s="726"/>
      <c r="AU87" s="726"/>
      <c r="AV87" s="726"/>
      <c r="AW87" s="726"/>
      <c r="AX87" s="726"/>
      <c r="AY87" s="726"/>
      <c r="AZ87" s="726"/>
      <c r="BA87" s="726"/>
      <c r="BB87" s="726"/>
      <c r="BC87" s="726"/>
      <c r="BD87" s="726"/>
      <c r="BE87" s="726"/>
      <c r="BF87" s="726"/>
      <c r="BG87" s="726"/>
    </row>
    <row r="88" spans="1:59" x14ac:dyDescent="0.25">
      <c r="A88" s="729" t="s">
        <v>167</v>
      </c>
      <c r="B88" s="730">
        <v>2899</v>
      </c>
      <c r="C88" s="725">
        <f t="shared" si="2"/>
        <v>180.97865771024323</v>
      </c>
      <c r="D88" s="92"/>
      <c r="E88" s="726"/>
      <c r="F88" s="726"/>
      <c r="G88" s="726"/>
      <c r="H88" s="726"/>
      <c r="I88" s="28"/>
      <c r="J88" s="92"/>
      <c r="K88" s="726"/>
      <c r="L88" s="726"/>
      <c r="M88" s="726"/>
      <c r="N88" s="726"/>
      <c r="O88" s="726"/>
      <c r="P88" s="726"/>
      <c r="Q88" s="726"/>
      <c r="R88" s="726"/>
      <c r="S88" s="726"/>
      <c r="T88" s="726"/>
      <c r="U88" s="726"/>
      <c r="V88" s="726"/>
      <c r="W88" s="726"/>
      <c r="X88" s="726"/>
      <c r="Y88" s="726"/>
      <c r="Z88" s="726"/>
      <c r="AA88" s="726"/>
      <c r="AB88" s="726"/>
      <c r="AC88" s="726"/>
      <c r="AD88" s="726"/>
      <c r="AE88" s="726"/>
      <c r="AF88" s="726"/>
      <c r="AG88" s="726"/>
      <c r="AH88" s="726"/>
      <c r="AI88" s="726"/>
      <c r="AJ88" s="726"/>
      <c r="AK88" s="726"/>
      <c r="AL88" s="726"/>
      <c r="AM88" s="726"/>
      <c r="AN88" s="726"/>
      <c r="AO88" s="726"/>
      <c r="AP88" s="726"/>
      <c r="AQ88" s="726"/>
      <c r="AR88" s="726"/>
      <c r="AS88" s="726"/>
      <c r="AT88" s="726"/>
      <c r="AU88" s="726"/>
      <c r="AV88" s="726"/>
      <c r="AW88" s="726"/>
      <c r="AX88" s="726"/>
      <c r="AY88" s="726"/>
      <c r="AZ88" s="726"/>
      <c r="BA88" s="726"/>
      <c r="BB88" s="726"/>
      <c r="BC88" s="726"/>
      <c r="BD88" s="726"/>
      <c r="BE88" s="726"/>
      <c r="BF88" s="726"/>
      <c r="BG88" s="726"/>
    </row>
    <row r="89" spans="1:59" x14ac:dyDescent="0.25">
      <c r="A89" s="727" t="s">
        <v>168</v>
      </c>
      <c r="B89" s="728">
        <v>2002</v>
      </c>
      <c r="C89" s="725">
        <f t="shared" si="2"/>
        <v>124.98077707344149</v>
      </c>
      <c r="D89" s="92"/>
      <c r="E89" s="726"/>
      <c r="F89" s="726"/>
      <c r="G89" s="726"/>
      <c r="H89" s="726"/>
      <c r="I89" s="28"/>
      <c r="J89" s="92"/>
      <c r="K89" s="726"/>
      <c r="L89" s="726"/>
      <c r="M89" s="726"/>
      <c r="N89" s="726"/>
      <c r="O89" s="726"/>
      <c r="P89" s="726"/>
      <c r="Q89" s="726"/>
      <c r="R89" s="726"/>
      <c r="S89" s="726"/>
      <c r="T89" s="726"/>
      <c r="U89" s="726"/>
      <c r="V89" s="726"/>
      <c r="W89" s="726"/>
      <c r="X89" s="726"/>
      <c r="Y89" s="726"/>
      <c r="Z89" s="726"/>
      <c r="AA89" s="726"/>
      <c r="AB89" s="726"/>
      <c r="AC89" s="726"/>
      <c r="AD89" s="726"/>
      <c r="AE89" s="726"/>
      <c r="AF89" s="726"/>
      <c r="AG89" s="726"/>
      <c r="AH89" s="726"/>
      <c r="AI89" s="726"/>
      <c r="AJ89" s="726"/>
      <c r="AK89" s="726"/>
      <c r="AL89" s="726"/>
      <c r="AM89" s="726"/>
      <c r="AN89" s="726"/>
      <c r="AO89" s="726"/>
      <c r="AP89" s="726"/>
      <c r="AQ89" s="726"/>
      <c r="AR89" s="726"/>
      <c r="AS89" s="726"/>
      <c r="AT89" s="726"/>
      <c r="AU89" s="726"/>
      <c r="AV89" s="726"/>
      <c r="AW89" s="726"/>
      <c r="AX89" s="726"/>
      <c r="AY89" s="726"/>
      <c r="AZ89" s="726"/>
      <c r="BA89" s="726"/>
      <c r="BB89" s="726"/>
      <c r="BC89" s="726"/>
      <c r="BD89" s="726"/>
      <c r="BE89" s="726"/>
      <c r="BF89" s="726"/>
      <c r="BG89" s="726"/>
    </row>
    <row r="90" spans="1:59" ht="13" customHeight="1" x14ac:dyDescent="0.25">
      <c r="A90" s="727" t="s">
        <v>169</v>
      </c>
      <c r="B90" s="728">
        <v>673</v>
      </c>
      <c r="C90" s="725">
        <f t="shared" si="2"/>
        <v>42.014017467745319</v>
      </c>
      <c r="D90" s="92"/>
      <c r="E90" s="726"/>
      <c r="F90" s="726"/>
      <c r="G90" s="726"/>
      <c r="H90" s="726"/>
      <c r="I90" s="28"/>
      <c r="J90" s="92"/>
      <c r="K90" s="726"/>
      <c r="L90" s="726"/>
      <c r="M90" s="726"/>
      <c r="N90" s="726"/>
      <c r="O90" s="726"/>
      <c r="P90" s="726"/>
      <c r="Q90" s="726"/>
      <c r="R90" s="726"/>
      <c r="S90" s="726"/>
      <c r="T90" s="726"/>
      <c r="U90" s="726"/>
      <c r="V90" s="726"/>
      <c r="W90" s="726"/>
      <c r="X90" s="726"/>
      <c r="Y90" s="726"/>
      <c r="Z90" s="726"/>
      <c r="AA90" s="726"/>
      <c r="AB90" s="726"/>
      <c r="AC90" s="726"/>
      <c r="AD90" s="726"/>
      <c r="AE90" s="726"/>
      <c r="AF90" s="726"/>
      <c r="AG90" s="726"/>
      <c r="AH90" s="726"/>
      <c r="AI90" s="726"/>
      <c r="AJ90" s="726"/>
      <c r="AK90" s="726"/>
      <c r="AL90" s="726"/>
      <c r="AM90" s="726"/>
      <c r="AN90" s="726"/>
      <c r="AO90" s="726"/>
      <c r="AP90" s="726"/>
      <c r="AQ90" s="726"/>
      <c r="AR90" s="726"/>
      <c r="AS90" s="726"/>
      <c r="AT90" s="726"/>
      <c r="AU90" s="726"/>
      <c r="AV90" s="726"/>
      <c r="AW90" s="726"/>
      <c r="AX90" s="726"/>
      <c r="AY90" s="726"/>
      <c r="AZ90" s="726"/>
      <c r="BA90" s="726"/>
      <c r="BB90" s="726"/>
      <c r="BC90" s="726"/>
      <c r="BD90" s="726"/>
      <c r="BE90" s="726"/>
      <c r="BF90" s="726"/>
      <c r="BG90" s="726"/>
    </row>
    <row r="91" spans="1:59" x14ac:dyDescent="0.25">
      <c r="A91" s="729" t="s">
        <v>170</v>
      </c>
      <c r="B91" s="730">
        <v>1249</v>
      </c>
      <c r="C91" s="725">
        <f t="shared" si="2"/>
        <v>77.972522759604601</v>
      </c>
      <c r="D91" s="92"/>
      <c r="E91" s="726"/>
      <c r="F91" s="726"/>
      <c r="G91" s="726"/>
      <c r="H91" s="726"/>
      <c r="I91" s="28"/>
      <c r="J91" s="92"/>
      <c r="K91" s="726"/>
      <c r="L91" s="726"/>
      <c r="M91" s="726"/>
      <c r="N91" s="726"/>
      <c r="O91" s="726"/>
      <c r="P91" s="726"/>
      <c r="Q91" s="726"/>
      <c r="R91" s="726"/>
      <c r="S91" s="726"/>
      <c r="T91" s="726"/>
      <c r="U91" s="726"/>
      <c r="V91" s="726"/>
      <c r="W91" s="726"/>
      <c r="X91" s="726"/>
      <c r="Y91" s="726"/>
      <c r="Z91" s="726"/>
      <c r="AA91" s="726"/>
      <c r="AB91" s="726"/>
      <c r="AC91" s="726"/>
      <c r="AD91" s="726"/>
      <c r="AE91" s="726"/>
      <c r="AF91" s="726"/>
      <c r="AG91" s="726"/>
      <c r="AH91" s="726"/>
      <c r="AI91" s="726"/>
      <c r="AJ91" s="726"/>
      <c r="AK91" s="726"/>
      <c r="AL91" s="726"/>
      <c r="AM91" s="726"/>
      <c r="AN91" s="726"/>
      <c r="AO91" s="726"/>
      <c r="AP91" s="726"/>
      <c r="AQ91" s="726"/>
      <c r="AR91" s="726"/>
      <c r="AS91" s="726"/>
      <c r="AT91" s="726"/>
      <c r="AU91" s="726"/>
      <c r="AV91" s="726"/>
      <c r="AW91" s="726"/>
      <c r="AX91" s="726"/>
      <c r="AY91" s="726"/>
      <c r="AZ91" s="726"/>
      <c r="BA91" s="726"/>
      <c r="BB91" s="726"/>
      <c r="BC91" s="726"/>
      <c r="BD91" s="726"/>
      <c r="BE91" s="726"/>
      <c r="BF91" s="726"/>
      <c r="BG91" s="726"/>
    </row>
    <row r="92" spans="1:59" x14ac:dyDescent="0.25">
      <c r="A92" s="729" t="s">
        <v>171</v>
      </c>
      <c r="B92" s="730">
        <v>1442</v>
      </c>
      <c r="C92" s="725">
        <f t="shared" si="2"/>
        <v>90.02111915080053</v>
      </c>
      <c r="D92" s="92"/>
      <c r="E92" s="726"/>
      <c r="F92" s="726"/>
      <c r="G92" s="726"/>
      <c r="H92" s="726"/>
      <c r="I92" s="28"/>
      <c r="J92" s="92"/>
      <c r="K92" s="726"/>
      <c r="L92" s="726"/>
      <c r="M92" s="726"/>
      <c r="N92" s="726"/>
      <c r="O92" s="726"/>
      <c r="P92" s="726"/>
      <c r="Q92" s="726"/>
      <c r="R92" s="726"/>
      <c r="S92" s="726"/>
      <c r="T92" s="726"/>
      <c r="U92" s="726"/>
      <c r="V92" s="726"/>
      <c r="W92" s="726"/>
      <c r="X92" s="726"/>
      <c r="Y92" s="726"/>
      <c r="Z92" s="726"/>
      <c r="AA92" s="726"/>
      <c r="AB92" s="726"/>
      <c r="AC92" s="726"/>
      <c r="AD92" s="726"/>
      <c r="AE92" s="726"/>
      <c r="AF92" s="726"/>
      <c r="AG92" s="726"/>
      <c r="AH92" s="726"/>
      <c r="AI92" s="726"/>
      <c r="AJ92" s="726"/>
      <c r="AK92" s="726"/>
      <c r="AL92" s="726"/>
      <c r="AM92" s="726"/>
      <c r="AN92" s="726"/>
      <c r="AO92" s="726"/>
      <c r="AP92" s="726"/>
      <c r="AQ92" s="726"/>
      <c r="AR92" s="726"/>
      <c r="AS92" s="726"/>
      <c r="AT92" s="726"/>
      <c r="AU92" s="726"/>
      <c r="AV92" s="726"/>
      <c r="AW92" s="726"/>
      <c r="AX92" s="726"/>
      <c r="AY92" s="726"/>
      <c r="AZ92" s="726"/>
      <c r="BA92" s="726"/>
      <c r="BB92" s="726"/>
      <c r="BC92" s="726"/>
      <c r="BD92" s="726"/>
      <c r="BE92" s="726"/>
      <c r="BF92" s="726"/>
      <c r="BG92" s="726"/>
    </row>
    <row r="93" spans="1:59" x14ac:dyDescent="0.25">
      <c r="A93" s="727" t="s">
        <v>172</v>
      </c>
      <c r="B93" s="728">
        <v>1522</v>
      </c>
      <c r="C93" s="725">
        <f t="shared" si="2"/>
        <v>95.015355996892083</v>
      </c>
      <c r="D93" s="92"/>
      <c r="E93" s="726"/>
      <c r="F93" s="726"/>
      <c r="G93" s="726"/>
      <c r="H93" s="726"/>
      <c r="I93" s="28"/>
      <c r="J93" s="92"/>
      <c r="K93" s="726"/>
      <c r="L93" s="726"/>
      <c r="M93" s="726"/>
      <c r="N93" s="726"/>
      <c r="O93" s="726"/>
      <c r="P93" s="726"/>
      <c r="Q93" s="726"/>
      <c r="R93" s="726"/>
      <c r="S93" s="726"/>
      <c r="T93" s="726"/>
      <c r="U93" s="726"/>
      <c r="V93" s="726"/>
      <c r="W93" s="726"/>
      <c r="X93" s="726"/>
      <c r="Y93" s="726"/>
      <c r="Z93" s="726"/>
      <c r="AA93" s="726"/>
      <c r="AB93" s="726"/>
      <c r="AC93" s="726"/>
      <c r="AD93" s="726"/>
      <c r="AE93" s="726"/>
      <c r="AF93" s="726"/>
      <c r="AG93" s="726"/>
      <c r="AH93" s="726"/>
      <c r="AI93" s="726"/>
      <c r="AJ93" s="726"/>
      <c r="AK93" s="726"/>
      <c r="AL93" s="726"/>
      <c r="AM93" s="726"/>
      <c r="AN93" s="726"/>
      <c r="AO93" s="726"/>
      <c r="AP93" s="726"/>
      <c r="AQ93" s="726"/>
      <c r="AR93" s="726"/>
      <c r="AS93" s="726"/>
      <c r="AT93" s="726"/>
      <c r="AU93" s="726"/>
      <c r="AV93" s="726"/>
      <c r="AW93" s="726"/>
      <c r="AX93" s="726"/>
      <c r="AY93" s="726"/>
      <c r="AZ93" s="726"/>
      <c r="BA93" s="726"/>
      <c r="BB93" s="726"/>
      <c r="BC93" s="726"/>
      <c r="BD93" s="726"/>
      <c r="BE93" s="726"/>
      <c r="BF93" s="726"/>
      <c r="BG93" s="726"/>
    </row>
    <row r="94" spans="1:59" x14ac:dyDescent="0.25">
      <c r="A94" s="727" t="s">
        <v>173</v>
      </c>
      <c r="B94" s="728">
        <v>1730</v>
      </c>
      <c r="C94" s="725">
        <f t="shared" si="2"/>
        <v>108.00037179673016</v>
      </c>
      <c r="D94" s="92"/>
      <c r="E94" s="726"/>
      <c r="F94" s="726"/>
      <c r="G94" s="726"/>
      <c r="H94" s="726"/>
      <c r="I94" s="28"/>
      <c r="J94" s="92"/>
      <c r="K94" s="726"/>
      <c r="L94" s="726"/>
      <c r="M94" s="726"/>
      <c r="N94" s="726"/>
      <c r="O94" s="726"/>
      <c r="P94" s="726"/>
      <c r="Q94" s="726"/>
      <c r="R94" s="726"/>
      <c r="S94" s="726"/>
      <c r="T94" s="726"/>
      <c r="U94" s="726"/>
      <c r="V94" s="726"/>
      <c r="W94" s="726"/>
      <c r="X94" s="726"/>
      <c r="Y94" s="726"/>
      <c r="Z94" s="726"/>
      <c r="AA94" s="726"/>
      <c r="AB94" s="726"/>
      <c r="AC94" s="726"/>
      <c r="AD94" s="726"/>
      <c r="AE94" s="726"/>
      <c r="AF94" s="726"/>
      <c r="AG94" s="726"/>
      <c r="AH94" s="726"/>
      <c r="AI94" s="726"/>
      <c r="AJ94" s="726"/>
      <c r="AK94" s="726"/>
      <c r="AL94" s="726"/>
      <c r="AM94" s="726"/>
      <c r="AN94" s="726"/>
      <c r="AO94" s="726"/>
      <c r="AP94" s="726"/>
      <c r="AQ94" s="726"/>
      <c r="AR94" s="726"/>
      <c r="AS94" s="726"/>
      <c r="AT94" s="726"/>
      <c r="AU94" s="726"/>
      <c r="AV94" s="726"/>
      <c r="AW94" s="726"/>
      <c r="AX94" s="726"/>
      <c r="AY94" s="726"/>
      <c r="AZ94" s="726"/>
      <c r="BA94" s="726"/>
      <c r="BB94" s="726"/>
      <c r="BC94" s="726"/>
      <c r="BD94" s="726"/>
      <c r="BE94" s="726"/>
      <c r="BF94" s="726"/>
      <c r="BG94" s="726"/>
    </row>
    <row r="95" spans="1:59" x14ac:dyDescent="0.25">
      <c r="A95" s="729" t="s">
        <v>174</v>
      </c>
      <c r="B95" s="730">
        <v>1602</v>
      </c>
      <c r="C95" s="725">
        <f t="shared" si="2"/>
        <v>100.00959284298365</v>
      </c>
      <c r="D95" s="92"/>
      <c r="E95" s="726"/>
      <c r="F95" s="726"/>
      <c r="G95" s="726"/>
      <c r="H95" s="726"/>
      <c r="I95" s="28"/>
      <c r="J95" s="92"/>
      <c r="K95" s="726"/>
      <c r="L95" s="726"/>
      <c r="M95" s="726"/>
      <c r="N95" s="726"/>
      <c r="O95" s="726"/>
      <c r="P95" s="726"/>
      <c r="Q95" s="726"/>
      <c r="R95" s="726"/>
      <c r="S95" s="726"/>
      <c r="T95" s="726"/>
      <c r="U95" s="726"/>
      <c r="V95" s="726"/>
      <c r="W95" s="726"/>
      <c r="X95" s="726"/>
      <c r="Y95" s="726"/>
      <c r="Z95" s="726"/>
      <c r="AA95" s="726"/>
      <c r="AB95" s="726"/>
      <c r="AC95" s="726"/>
      <c r="AD95" s="726"/>
      <c r="AE95" s="726"/>
      <c r="AF95" s="726"/>
      <c r="AG95" s="726"/>
      <c r="AH95" s="726"/>
      <c r="AI95" s="726"/>
      <c r="AJ95" s="726"/>
      <c r="AK95" s="726"/>
      <c r="AL95" s="726"/>
      <c r="AM95" s="726"/>
      <c r="AN95" s="726"/>
      <c r="AO95" s="726"/>
      <c r="AP95" s="726"/>
      <c r="AQ95" s="726"/>
      <c r="AR95" s="726"/>
      <c r="AS95" s="726"/>
      <c r="AT95" s="726"/>
      <c r="AU95" s="726"/>
      <c r="AV95" s="726"/>
      <c r="AW95" s="726"/>
      <c r="AX95" s="726"/>
      <c r="AY95" s="726"/>
      <c r="AZ95" s="726"/>
      <c r="BA95" s="726"/>
      <c r="BB95" s="726"/>
      <c r="BC95" s="726"/>
      <c r="BD95" s="726"/>
      <c r="BE95" s="726"/>
      <c r="BF95" s="726"/>
      <c r="BG95" s="726"/>
    </row>
    <row r="96" spans="1:59" x14ac:dyDescent="0.25">
      <c r="A96" s="719" t="s">
        <v>175</v>
      </c>
      <c r="B96" s="732">
        <v>4005</v>
      </c>
      <c r="C96" s="725">
        <f t="shared" si="2"/>
        <v>250.02398210745915</v>
      </c>
      <c r="D96" s="92"/>
      <c r="E96" s="726"/>
      <c r="F96" s="726"/>
      <c r="G96" s="726"/>
      <c r="H96" s="726"/>
      <c r="I96" s="28"/>
      <c r="J96" s="92"/>
      <c r="K96" s="726"/>
      <c r="L96" s="726"/>
      <c r="M96" s="726"/>
      <c r="N96" s="726"/>
      <c r="O96" s="726"/>
      <c r="P96" s="726"/>
      <c r="Q96" s="726"/>
      <c r="R96" s="726"/>
      <c r="S96" s="726"/>
      <c r="T96" s="726"/>
      <c r="U96" s="726"/>
      <c r="V96" s="726"/>
      <c r="W96" s="726"/>
      <c r="X96" s="726"/>
      <c r="Y96" s="726"/>
      <c r="Z96" s="726"/>
      <c r="AA96" s="726"/>
      <c r="AB96" s="726"/>
      <c r="AC96" s="726"/>
      <c r="AD96" s="726"/>
      <c r="AE96" s="726"/>
      <c r="AF96" s="726"/>
      <c r="AG96" s="726"/>
      <c r="AH96" s="726"/>
      <c r="AI96" s="726"/>
      <c r="AJ96" s="726"/>
      <c r="AK96" s="726"/>
      <c r="AL96" s="726"/>
      <c r="AM96" s="726"/>
      <c r="AN96" s="726"/>
      <c r="AO96" s="726"/>
      <c r="AP96" s="726"/>
      <c r="AQ96" s="726"/>
      <c r="AR96" s="726"/>
      <c r="AS96" s="726"/>
      <c r="AT96" s="726"/>
      <c r="AU96" s="726"/>
      <c r="AV96" s="726"/>
      <c r="AW96" s="726"/>
      <c r="AX96" s="726"/>
      <c r="AY96" s="726"/>
      <c r="AZ96" s="726"/>
      <c r="BA96" s="726"/>
      <c r="BB96" s="726"/>
      <c r="BC96" s="726"/>
      <c r="BD96" s="726"/>
      <c r="BE96" s="726"/>
      <c r="BF96" s="726"/>
      <c r="BG96" s="726"/>
    </row>
    <row r="97" spans="1:59" ht="13" customHeight="1" x14ac:dyDescent="0.25">
      <c r="A97" s="727" t="s">
        <v>75</v>
      </c>
      <c r="B97" s="728">
        <v>1250</v>
      </c>
      <c r="C97" s="725">
        <f t="shared" si="2"/>
        <v>78.03495072018076</v>
      </c>
      <c r="D97" s="92"/>
      <c r="E97" s="726"/>
      <c r="F97" s="726"/>
      <c r="G97" s="726"/>
      <c r="H97" s="726"/>
      <c r="I97" s="28"/>
      <c r="J97" s="92"/>
      <c r="K97" s="726"/>
      <c r="L97" s="726"/>
      <c r="M97" s="726"/>
      <c r="N97" s="726"/>
      <c r="O97" s="726"/>
      <c r="P97" s="726"/>
      <c r="Q97" s="726"/>
      <c r="R97" s="726"/>
      <c r="S97" s="726"/>
      <c r="T97" s="726"/>
      <c r="U97" s="726"/>
      <c r="V97" s="726"/>
      <c r="W97" s="726"/>
      <c r="X97" s="726"/>
      <c r="Y97" s="726"/>
      <c r="Z97" s="726"/>
      <c r="AA97" s="726"/>
      <c r="AB97" s="726"/>
      <c r="AC97" s="726"/>
      <c r="AD97" s="726"/>
      <c r="AE97" s="726"/>
      <c r="AF97" s="726"/>
      <c r="AG97" s="726"/>
      <c r="AH97" s="726"/>
      <c r="AI97" s="726"/>
      <c r="AJ97" s="726"/>
      <c r="AK97" s="726"/>
      <c r="AL97" s="726"/>
      <c r="AM97" s="726"/>
      <c r="AN97" s="726"/>
      <c r="AO97" s="726"/>
      <c r="AP97" s="726"/>
      <c r="AQ97" s="726"/>
      <c r="AR97" s="726"/>
      <c r="AS97" s="726"/>
      <c r="AT97" s="726"/>
      <c r="AU97" s="726"/>
      <c r="AV97" s="726"/>
      <c r="AW97" s="726"/>
      <c r="AX97" s="726"/>
      <c r="AY97" s="726"/>
      <c r="AZ97" s="726"/>
      <c r="BA97" s="726"/>
      <c r="BB97" s="726"/>
      <c r="BC97" s="726"/>
      <c r="BD97" s="726"/>
      <c r="BE97" s="726"/>
      <c r="BF97" s="726"/>
      <c r="BG97" s="726"/>
    </row>
    <row r="98" spans="1:59" x14ac:dyDescent="0.25">
      <c r="A98" s="727" t="s">
        <v>176</v>
      </c>
      <c r="B98" s="728">
        <v>737</v>
      </c>
      <c r="C98" s="725">
        <f t="shared" si="2"/>
        <v>46.009406944618569</v>
      </c>
      <c r="D98" s="92"/>
      <c r="E98" s="726"/>
      <c r="F98" s="726"/>
      <c r="G98" s="726"/>
      <c r="H98" s="726"/>
      <c r="I98" s="28"/>
      <c r="J98" s="92"/>
      <c r="K98" s="726"/>
      <c r="L98" s="726"/>
      <c r="M98" s="726"/>
      <c r="N98" s="726"/>
      <c r="O98" s="726"/>
      <c r="P98" s="726"/>
      <c r="Q98" s="726"/>
      <c r="R98" s="726"/>
      <c r="S98" s="726"/>
      <c r="T98" s="726"/>
      <c r="U98" s="726"/>
      <c r="V98" s="726"/>
      <c r="W98" s="726"/>
      <c r="X98" s="726"/>
      <c r="Y98" s="726"/>
      <c r="Z98" s="726"/>
      <c r="AA98" s="726"/>
      <c r="AB98" s="726"/>
      <c r="AC98" s="726"/>
      <c r="AD98" s="726"/>
      <c r="AE98" s="726"/>
      <c r="AF98" s="726"/>
      <c r="AG98" s="726"/>
      <c r="AH98" s="726"/>
      <c r="AI98" s="726"/>
      <c r="AJ98" s="726"/>
      <c r="AK98" s="726"/>
      <c r="AL98" s="726"/>
      <c r="AM98" s="726"/>
      <c r="AN98" s="726"/>
      <c r="AO98" s="726"/>
      <c r="AP98" s="726"/>
      <c r="AQ98" s="726"/>
      <c r="AR98" s="726"/>
      <c r="AS98" s="726"/>
      <c r="AT98" s="726"/>
      <c r="AU98" s="726"/>
      <c r="AV98" s="726"/>
      <c r="AW98" s="726"/>
      <c r="AX98" s="726"/>
      <c r="AY98" s="726"/>
      <c r="AZ98" s="726"/>
      <c r="BA98" s="726"/>
      <c r="BB98" s="726"/>
      <c r="BC98" s="726"/>
      <c r="BD98" s="726"/>
      <c r="BE98" s="726"/>
      <c r="BF98" s="726"/>
      <c r="BG98" s="726"/>
    </row>
    <row r="99" spans="1:59" x14ac:dyDescent="0.25">
      <c r="A99" s="729" t="s">
        <v>177</v>
      </c>
      <c r="B99" s="730">
        <v>1233</v>
      </c>
      <c r="C99" s="725">
        <f t="shared" si="2"/>
        <v>76.973675390386305</v>
      </c>
      <c r="D99" s="92"/>
      <c r="E99" s="726"/>
      <c r="F99" s="726"/>
      <c r="G99" s="726"/>
      <c r="H99" s="726"/>
      <c r="I99" s="28"/>
      <c r="J99" s="92"/>
      <c r="K99" s="726"/>
      <c r="L99" s="726"/>
      <c r="M99" s="726"/>
      <c r="N99" s="726"/>
      <c r="O99" s="726"/>
      <c r="P99" s="726"/>
      <c r="Q99" s="726"/>
      <c r="R99" s="726"/>
      <c r="S99" s="726"/>
      <c r="T99" s="726"/>
      <c r="U99" s="726"/>
      <c r="V99" s="726"/>
      <c r="W99" s="726"/>
      <c r="X99" s="726"/>
      <c r="Y99" s="726"/>
      <c r="Z99" s="726"/>
      <c r="AA99" s="726"/>
      <c r="AB99" s="726"/>
      <c r="AC99" s="726"/>
      <c r="AD99" s="726"/>
      <c r="AE99" s="726"/>
      <c r="AF99" s="726"/>
      <c r="AG99" s="726"/>
      <c r="AH99" s="726"/>
      <c r="AI99" s="726"/>
      <c r="AJ99" s="726"/>
      <c r="AK99" s="726"/>
      <c r="AL99" s="726"/>
      <c r="AM99" s="726"/>
      <c r="AN99" s="726"/>
      <c r="AO99" s="726"/>
      <c r="AP99" s="726"/>
      <c r="AQ99" s="726"/>
      <c r="AR99" s="726"/>
      <c r="AS99" s="726"/>
      <c r="AT99" s="726"/>
      <c r="AU99" s="726"/>
      <c r="AV99" s="726"/>
      <c r="AW99" s="726"/>
      <c r="AX99" s="726"/>
      <c r="AY99" s="726"/>
      <c r="AZ99" s="726"/>
      <c r="BA99" s="726"/>
      <c r="BB99" s="726"/>
      <c r="BC99" s="726"/>
      <c r="BD99" s="726"/>
      <c r="BE99" s="726"/>
      <c r="BF99" s="726"/>
      <c r="BG99" s="726"/>
    </row>
    <row r="100" spans="1:59" x14ac:dyDescent="0.25">
      <c r="A100" s="727" t="s">
        <v>178</v>
      </c>
      <c r="B100" s="728">
        <v>2563</v>
      </c>
      <c r="C100" s="725">
        <f t="shared" si="2"/>
        <v>160.00286295665862</v>
      </c>
      <c r="D100" s="92"/>
      <c r="E100" s="726"/>
      <c r="F100" s="726"/>
      <c r="G100" s="726"/>
      <c r="H100" s="726"/>
      <c r="I100" s="28"/>
      <c r="J100" s="92"/>
      <c r="K100" s="726"/>
      <c r="L100" s="726"/>
      <c r="M100" s="726"/>
      <c r="N100" s="726"/>
      <c r="O100" s="726"/>
      <c r="P100" s="726"/>
      <c r="Q100" s="726"/>
      <c r="R100" s="726"/>
      <c r="S100" s="726"/>
      <c r="T100" s="726"/>
      <c r="U100" s="726"/>
      <c r="V100" s="726"/>
      <c r="W100" s="726"/>
      <c r="X100" s="726"/>
      <c r="Y100" s="726"/>
      <c r="Z100" s="726"/>
      <c r="AA100" s="726"/>
      <c r="AB100" s="726"/>
      <c r="AC100" s="726"/>
      <c r="AD100" s="726"/>
      <c r="AE100" s="726"/>
      <c r="AF100" s="726"/>
      <c r="AG100" s="726"/>
      <c r="AH100" s="726"/>
      <c r="AI100" s="726"/>
      <c r="AJ100" s="726"/>
      <c r="AK100" s="726"/>
      <c r="AL100" s="726"/>
      <c r="AM100" s="726"/>
      <c r="AN100" s="726"/>
      <c r="AO100" s="726"/>
      <c r="AP100" s="726"/>
      <c r="AQ100" s="726"/>
      <c r="AR100" s="726"/>
      <c r="AS100" s="726"/>
      <c r="AT100" s="726"/>
      <c r="AU100" s="726"/>
      <c r="AV100" s="726"/>
      <c r="AW100" s="726"/>
      <c r="AX100" s="726"/>
      <c r="AY100" s="726"/>
      <c r="AZ100" s="726"/>
      <c r="BA100" s="726"/>
      <c r="BB100" s="726"/>
      <c r="BC100" s="726"/>
      <c r="BD100" s="726"/>
      <c r="BE100" s="726"/>
      <c r="BF100" s="726"/>
      <c r="BG100" s="726"/>
    </row>
    <row r="101" spans="1:59" x14ac:dyDescent="0.25">
      <c r="A101" s="727" t="s">
        <v>179</v>
      </c>
      <c r="B101" s="728">
        <v>1390</v>
      </c>
      <c r="C101" s="725">
        <f t="shared" si="2"/>
        <v>86.774865200840992</v>
      </c>
      <c r="D101" s="92"/>
      <c r="E101" s="726"/>
      <c r="F101" s="726"/>
      <c r="G101" s="726"/>
      <c r="H101" s="726"/>
      <c r="I101" s="28"/>
      <c r="J101" s="92"/>
      <c r="K101" s="726"/>
      <c r="L101" s="726"/>
      <c r="M101" s="726"/>
      <c r="N101" s="726"/>
      <c r="O101" s="726"/>
      <c r="P101" s="726"/>
      <c r="Q101" s="726"/>
      <c r="R101" s="726"/>
      <c r="S101" s="726"/>
      <c r="T101" s="726"/>
      <c r="U101" s="726"/>
      <c r="V101" s="726"/>
      <c r="W101" s="726"/>
      <c r="X101" s="726"/>
      <c r="Y101" s="726"/>
      <c r="Z101" s="726"/>
      <c r="AA101" s="726"/>
      <c r="AB101" s="726"/>
      <c r="AC101" s="726"/>
      <c r="AD101" s="726"/>
      <c r="AE101" s="726"/>
      <c r="AF101" s="726"/>
      <c r="AG101" s="726"/>
      <c r="AH101" s="726"/>
      <c r="AI101" s="726"/>
      <c r="AJ101" s="726"/>
      <c r="AK101" s="726"/>
      <c r="AL101" s="726"/>
      <c r="AM101" s="726"/>
      <c r="AN101" s="726"/>
      <c r="AO101" s="726"/>
      <c r="AP101" s="726"/>
      <c r="AQ101" s="726"/>
      <c r="AR101" s="726"/>
      <c r="AS101" s="726"/>
      <c r="AT101" s="726"/>
      <c r="AU101" s="726"/>
      <c r="AV101" s="726"/>
      <c r="AW101" s="726"/>
      <c r="AX101" s="726"/>
      <c r="AY101" s="726"/>
      <c r="AZ101" s="726"/>
      <c r="BA101" s="726"/>
      <c r="BB101" s="726"/>
      <c r="BC101" s="726"/>
      <c r="BD101" s="726"/>
      <c r="BE101" s="726"/>
      <c r="BF101" s="726"/>
      <c r="BG101" s="726"/>
    </row>
    <row r="102" spans="1:59" x14ac:dyDescent="0.25">
      <c r="A102" s="729" t="s">
        <v>180</v>
      </c>
      <c r="B102" s="730">
        <v>1735</v>
      </c>
      <c r="C102" s="725">
        <f t="shared" si="2"/>
        <v>108.3125115996109</v>
      </c>
      <c r="D102" s="92"/>
      <c r="E102" s="726"/>
      <c r="F102" s="726"/>
      <c r="G102" s="726"/>
      <c r="H102" s="726"/>
      <c r="I102" s="28"/>
      <c r="J102" s="92"/>
      <c r="K102" s="726"/>
      <c r="L102" s="726"/>
      <c r="M102" s="726"/>
      <c r="N102" s="726"/>
      <c r="O102" s="726"/>
      <c r="P102" s="726"/>
      <c r="Q102" s="726"/>
      <c r="R102" s="726"/>
      <c r="S102" s="726"/>
      <c r="T102" s="726"/>
      <c r="U102" s="726"/>
      <c r="V102" s="726"/>
      <c r="W102" s="726"/>
      <c r="X102" s="726"/>
      <c r="Y102" s="726"/>
      <c r="Z102" s="726"/>
      <c r="AA102" s="726"/>
      <c r="AB102" s="726"/>
      <c r="AC102" s="726"/>
      <c r="AD102" s="726"/>
      <c r="AE102" s="726"/>
      <c r="AF102" s="726"/>
      <c r="AG102" s="726"/>
      <c r="AH102" s="726"/>
      <c r="AI102" s="726"/>
      <c r="AJ102" s="726"/>
      <c r="AK102" s="726"/>
      <c r="AL102" s="726"/>
      <c r="AM102" s="726"/>
      <c r="AN102" s="726"/>
      <c r="AO102" s="726"/>
      <c r="AP102" s="726"/>
      <c r="AQ102" s="726"/>
      <c r="AR102" s="726"/>
      <c r="AS102" s="726"/>
      <c r="AT102" s="726"/>
      <c r="AU102" s="726"/>
      <c r="AV102" s="726"/>
      <c r="AW102" s="726"/>
      <c r="AX102" s="726"/>
      <c r="AY102" s="726"/>
      <c r="AZ102" s="726"/>
      <c r="BA102" s="726"/>
      <c r="BB102" s="726"/>
      <c r="BC102" s="726"/>
      <c r="BD102" s="726"/>
      <c r="BE102" s="726"/>
      <c r="BF102" s="726"/>
      <c r="BG102" s="726"/>
    </row>
    <row r="103" spans="1:59" x14ac:dyDescent="0.25">
      <c r="A103" s="727" t="s">
        <v>181</v>
      </c>
      <c r="B103" s="728">
        <v>1602</v>
      </c>
      <c r="C103" s="725">
        <f t="shared" si="2"/>
        <v>100.00959284298365</v>
      </c>
      <c r="D103" s="92"/>
      <c r="E103" s="726"/>
      <c r="F103" s="726"/>
      <c r="G103" s="726"/>
      <c r="H103" s="726"/>
      <c r="I103" s="28"/>
      <c r="J103" s="92"/>
      <c r="K103" s="726"/>
      <c r="L103" s="726"/>
      <c r="M103" s="726"/>
      <c r="N103" s="726"/>
      <c r="O103" s="726"/>
      <c r="P103" s="726"/>
      <c r="Q103" s="726"/>
      <c r="R103" s="726"/>
      <c r="S103" s="726"/>
      <c r="T103" s="726"/>
      <c r="U103" s="726"/>
      <c r="V103" s="726"/>
      <c r="W103" s="726"/>
      <c r="X103" s="726"/>
      <c r="Y103" s="726"/>
      <c r="Z103" s="726"/>
      <c r="AA103" s="726"/>
      <c r="AB103" s="726"/>
      <c r="AC103" s="726"/>
      <c r="AD103" s="726"/>
      <c r="AE103" s="726"/>
      <c r="AF103" s="726"/>
      <c r="AG103" s="726"/>
      <c r="AH103" s="726"/>
      <c r="AI103" s="726"/>
      <c r="AJ103" s="726"/>
      <c r="AK103" s="726"/>
      <c r="AL103" s="726"/>
      <c r="AM103" s="726"/>
      <c r="AN103" s="726"/>
      <c r="AO103" s="726"/>
      <c r="AP103" s="726"/>
      <c r="AQ103" s="726"/>
      <c r="AR103" s="726"/>
      <c r="AS103" s="726"/>
      <c r="AT103" s="726"/>
      <c r="AU103" s="726"/>
      <c r="AV103" s="726"/>
      <c r="AW103" s="726"/>
      <c r="AX103" s="726"/>
      <c r="AY103" s="726"/>
      <c r="AZ103" s="726"/>
      <c r="BA103" s="726"/>
      <c r="BB103" s="726"/>
      <c r="BC103" s="726"/>
      <c r="BD103" s="726"/>
      <c r="BE103" s="726"/>
      <c r="BF103" s="726"/>
      <c r="BG103" s="726"/>
    </row>
    <row r="104" spans="1:59" x14ac:dyDescent="0.25">
      <c r="A104" s="727" t="s">
        <v>182</v>
      </c>
      <c r="B104" s="728">
        <v>1442</v>
      </c>
      <c r="C104" s="725">
        <f t="shared" si="2"/>
        <v>90.02111915080053</v>
      </c>
      <c r="D104" s="92"/>
      <c r="E104" s="726"/>
      <c r="F104" s="726"/>
      <c r="G104" s="726"/>
      <c r="H104" s="726"/>
      <c r="I104" s="28"/>
      <c r="J104" s="92"/>
      <c r="K104" s="726"/>
      <c r="L104" s="726"/>
      <c r="M104" s="726"/>
      <c r="N104" s="726"/>
      <c r="O104" s="726"/>
      <c r="P104" s="726"/>
      <c r="Q104" s="726"/>
      <c r="R104" s="726"/>
      <c r="S104" s="726"/>
      <c r="T104" s="726"/>
      <c r="U104" s="726"/>
      <c r="V104" s="726"/>
      <c r="W104" s="726"/>
      <c r="X104" s="726"/>
      <c r="Y104" s="726"/>
      <c r="Z104" s="726"/>
      <c r="AA104" s="726"/>
      <c r="AB104" s="726"/>
      <c r="AC104" s="726"/>
      <c r="AD104" s="726"/>
      <c r="AE104" s="726"/>
      <c r="AF104" s="726"/>
      <c r="AG104" s="726"/>
      <c r="AH104" s="726"/>
      <c r="AI104" s="726"/>
      <c r="AJ104" s="726"/>
      <c r="AK104" s="726"/>
      <c r="AL104" s="726"/>
      <c r="AM104" s="726"/>
      <c r="AN104" s="726"/>
      <c r="AO104" s="726"/>
      <c r="AP104" s="726"/>
      <c r="AQ104" s="726"/>
      <c r="AR104" s="726"/>
      <c r="AS104" s="726"/>
      <c r="AT104" s="726"/>
      <c r="AU104" s="726"/>
      <c r="AV104" s="726"/>
      <c r="AW104" s="726"/>
      <c r="AX104" s="726"/>
      <c r="AY104" s="726"/>
      <c r="AZ104" s="726"/>
      <c r="BA104" s="726"/>
      <c r="BB104" s="726"/>
      <c r="BC104" s="726"/>
      <c r="BD104" s="726"/>
      <c r="BE104" s="726"/>
      <c r="BF104" s="726"/>
      <c r="BG104" s="726"/>
    </row>
    <row r="105" spans="1:59" x14ac:dyDescent="0.25">
      <c r="A105" s="719" t="s">
        <v>183</v>
      </c>
      <c r="B105" s="732">
        <v>3204</v>
      </c>
      <c r="C105" s="725">
        <f t="shared" si="2"/>
        <v>200.0191856859673</v>
      </c>
      <c r="D105" s="92"/>
      <c r="E105" s="726"/>
      <c r="F105" s="726"/>
      <c r="G105" s="726"/>
      <c r="H105" s="726"/>
      <c r="I105" s="28"/>
      <c r="J105" s="92"/>
      <c r="K105" s="726"/>
      <c r="L105" s="726"/>
      <c r="M105" s="726"/>
      <c r="N105" s="726"/>
      <c r="O105" s="726"/>
      <c r="P105" s="726"/>
      <c r="Q105" s="726"/>
      <c r="R105" s="726"/>
      <c r="S105" s="726"/>
      <c r="T105" s="726"/>
      <c r="U105" s="726"/>
      <c r="V105" s="726"/>
      <c r="W105" s="726"/>
      <c r="X105" s="726"/>
      <c r="Y105" s="726"/>
      <c r="Z105" s="726"/>
      <c r="AA105" s="726"/>
      <c r="AB105" s="726"/>
      <c r="AC105" s="726"/>
      <c r="AD105" s="726"/>
      <c r="AE105" s="726"/>
      <c r="AF105" s="726"/>
      <c r="AG105" s="726"/>
      <c r="AH105" s="726"/>
      <c r="AI105" s="726"/>
      <c r="AJ105" s="726"/>
      <c r="AK105" s="726"/>
      <c r="AL105" s="726"/>
      <c r="AM105" s="726"/>
      <c r="AN105" s="726"/>
      <c r="AO105" s="726"/>
      <c r="AP105" s="726"/>
      <c r="AQ105" s="726"/>
      <c r="AR105" s="726"/>
      <c r="AS105" s="726"/>
      <c r="AT105" s="726"/>
      <c r="AU105" s="726"/>
      <c r="AV105" s="726"/>
      <c r="AW105" s="726"/>
      <c r="AX105" s="726"/>
      <c r="AY105" s="726"/>
      <c r="AZ105" s="726"/>
      <c r="BA105" s="726"/>
      <c r="BB105" s="726"/>
      <c r="BC105" s="726"/>
      <c r="BD105" s="726"/>
      <c r="BE105" s="726"/>
      <c r="BF105" s="726"/>
      <c r="BG105" s="726"/>
    </row>
    <row r="106" spans="1:59" x14ac:dyDescent="0.25">
      <c r="A106" s="719" t="s">
        <v>82</v>
      </c>
      <c r="B106" s="732">
        <v>852</v>
      </c>
      <c r="C106" s="725">
        <f t="shared" si="2"/>
        <v>53.188622410875205</v>
      </c>
      <c r="D106" s="92"/>
      <c r="E106" s="726"/>
      <c r="F106" s="726"/>
      <c r="G106" s="726"/>
      <c r="H106" s="726"/>
      <c r="I106" s="28"/>
      <c r="J106" s="92"/>
      <c r="K106" s="726"/>
      <c r="L106" s="726"/>
      <c r="M106" s="726"/>
      <c r="N106" s="726"/>
      <c r="O106" s="726"/>
      <c r="P106" s="726"/>
      <c r="Q106" s="726"/>
      <c r="R106" s="726"/>
      <c r="S106" s="726"/>
      <c r="T106" s="726"/>
      <c r="U106" s="726"/>
      <c r="V106" s="726"/>
      <c r="W106" s="726"/>
      <c r="X106" s="726"/>
      <c r="Y106" s="726"/>
      <c r="Z106" s="726"/>
      <c r="AA106" s="726"/>
      <c r="AB106" s="726"/>
      <c r="AC106" s="726"/>
      <c r="AD106" s="726"/>
      <c r="AE106" s="726"/>
      <c r="AF106" s="726"/>
      <c r="AG106" s="726"/>
      <c r="AH106" s="726"/>
      <c r="AI106" s="726"/>
      <c r="AJ106" s="726"/>
      <c r="AK106" s="726"/>
      <c r="AL106" s="726"/>
      <c r="AM106" s="726"/>
      <c r="AN106" s="726"/>
      <c r="AO106" s="726"/>
      <c r="AP106" s="726"/>
      <c r="AQ106" s="726"/>
      <c r="AR106" s="726"/>
      <c r="AS106" s="726"/>
      <c r="AT106" s="726"/>
      <c r="AU106" s="726"/>
      <c r="AV106" s="726"/>
      <c r="AW106" s="726"/>
      <c r="AX106" s="726"/>
      <c r="AY106" s="726"/>
      <c r="AZ106" s="726"/>
      <c r="BA106" s="726"/>
      <c r="BB106" s="726"/>
      <c r="BC106" s="726"/>
      <c r="BD106" s="726"/>
      <c r="BE106" s="726"/>
      <c r="BF106" s="726"/>
      <c r="BG106" s="726"/>
    </row>
    <row r="107" spans="1:59" x14ac:dyDescent="0.25">
      <c r="A107" s="727" t="s">
        <v>83</v>
      </c>
      <c r="B107" s="728">
        <v>853</v>
      </c>
      <c r="C107" s="725">
        <f t="shared" si="2"/>
        <v>53.251050371451349</v>
      </c>
      <c r="D107" s="92"/>
      <c r="E107" s="726"/>
      <c r="F107" s="726"/>
      <c r="G107" s="726"/>
      <c r="H107" s="726"/>
      <c r="I107" s="28"/>
      <c r="J107" s="92"/>
      <c r="K107" s="726"/>
      <c r="L107" s="726"/>
      <c r="M107" s="726"/>
      <c r="N107" s="726"/>
      <c r="O107" s="726"/>
      <c r="P107" s="726"/>
      <c r="Q107" s="726"/>
      <c r="R107" s="726"/>
      <c r="S107" s="726"/>
      <c r="T107" s="726"/>
      <c r="U107" s="726"/>
      <c r="V107" s="726"/>
      <c r="W107" s="726"/>
      <c r="X107" s="726"/>
      <c r="Y107" s="726"/>
      <c r="Z107" s="726"/>
      <c r="AA107" s="726"/>
      <c r="AB107" s="726"/>
      <c r="AC107" s="726"/>
      <c r="AD107" s="726"/>
      <c r="AE107" s="726"/>
      <c r="AF107" s="726"/>
      <c r="AG107" s="726"/>
      <c r="AH107" s="726"/>
      <c r="AI107" s="726"/>
      <c r="AJ107" s="726"/>
      <c r="AK107" s="726"/>
      <c r="AL107" s="726"/>
      <c r="AM107" s="726"/>
      <c r="AN107" s="726"/>
      <c r="AO107" s="726"/>
      <c r="AP107" s="726"/>
      <c r="AQ107" s="726"/>
      <c r="AR107" s="726"/>
      <c r="AS107" s="726"/>
      <c r="AT107" s="726"/>
      <c r="AU107" s="726"/>
      <c r="AV107" s="726"/>
      <c r="AW107" s="726"/>
      <c r="AX107" s="726"/>
      <c r="AY107" s="726"/>
      <c r="AZ107" s="726"/>
      <c r="BA107" s="726"/>
      <c r="BB107" s="726"/>
      <c r="BC107" s="726"/>
      <c r="BD107" s="726"/>
      <c r="BE107" s="726"/>
      <c r="BF107" s="726"/>
      <c r="BG107" s="726"/>
    </row>
    <row r="108" spans="1:59" x14ac:dyDescent="0.25">
      <c r="A108" s="727" t="s">
        <v>184</v>
      </c>
      <c r="B108" s="728">
        <v>650</v>
      </c>
      <c r="C108" s="725">
        <f t="shared" si="2"/>
        <v>40.57817437449399</v>
      </c>
      <c r="D108" s="92"/>
      <c r="E108" s="726"/>
      <c r="F108" s="726"/>
      <c r="G108" s="726"/>
      <c r="H108" s="726"/>
      <c r="I108" s="28"/>
      <c r="J108" s="92"/>
      <c r="K108" s="726"/>
      <c r="L108" s="726"/>
      <c r="M108" s="726"/>
      <c r="N108" s="726"/>
      <c r="O108" s="726"/>
      <c r="P108" s="726"/>
      <c r="Q108" s="726"/>
      <c r="R108" s="726"/>
      <c r="S108" s="726"/>
      <c r="T108" s="726"/>
      <c r="U108" s="726"/>
      <c r="V108" s="726"/>
      <c r="W108" s="726"/>
      <c r="X108" s="726"/>
      <c r="Y108" s="726"/>
      <c r="Z108" s="726"/>
      <c r="AA108" s="726"/>
      <c r="AB108" s="726"/>
      <c r="AC108" s="726"/>
      <c r="AD108" s="726"/>
      <c r="AE108" s="726"/>
      <c r="AF108" s="726"/>
      <c r="AG108" s="726"/>
      <c r="AH108" s="726"/>
      <c r="AI108" s="726"/>
      <c r="AJ108" s="726"/>
      <c r="AK108" s="726"/>
      <c r="AL108" s="726"/>
      <c r="AM108" s="726"/>
      <c r="AN108" s="726"/>
      <c r="AO108" s="726"/>
      <c r="AP108" s="726"/>
      <c r="AQ108" s="726"/>
      <c r="AR108" s="726"/>
      <c r="AS108" s="726"/>
      <c r="AT108" s="726"/>
      <c r="AU108" s="726"/>
      <c r="AV108" s="726"/>
      <c r="AW108" s="726"/>
      <c r="AX108" s="726"/>
      <c r="AY108" s="726"/>
      <c r="AZ108" s="726"/>
      <c r="BA108" s="726"/>
      <c r="BB108" s="726"/>
      <c r="BC108" s="726"/>
      <c r="BD108" s="726"/>
      <c r="BE108" s="726"/>
      <c r="BF108" s="726"/>
      <c r="BG108" s="726"/>
    </row>
    <row r="109" spans="1:59" x14ac:dyDescent="0.25">
      <c r="A109" s="731" t="s">
        <v>185</v>
      </c>
      <c r="B109" s="732">
        <v>7500</v>
      </c>
      <c r="C109" s="725">
        <f t="shared" si="2"/>
        <v>468.20970432108453</v>
      </c>
      <c r="D109" s="92"/>
      <c r="E109" s="726"/>
      <c r="F109" s="726"/>
      <c r="G109" s="726"/>
      <c r="H109" s="726"/>
      <c r="I109" s="28"/>
      <c r="J109" s="92"/>
      <c r="K109" s="726"/>
      <c r="L109" s="726"/>
      <c r="M109" s="726"/>
      <c r="N109" s="726"/>
      <c r="O109" s="726"/>
      <c r="P109" s="726"/>
      <c r="Q109" s="726"/>
      <c r="R109" s="726"/>
      <c r="S109" s="726"/>
      <c r="T109" s="726"/>
      <c r="U109" s="726"/>
      <c r="V109" s="726"/>
      <c r="W109" s="726"/>
      <c r="X109" s="726"/>
      <c r="Y109" s="726"/>
      <c r="Z109" s="726"/>
      <c r="AA109" s="726"/>
      <c r="AB109" s="726"/>
      <c r="AC109" s="726"/>
      <c r="AD109" s="726"/>
      <c r="AE109" s="726"/>
      <c r="AF109" s="726"/>
      <c r="AG109" s="726"/>
      <c r="AH109" s="726"/>
      <c r="AI109" s="726"/>
      <c r="AJ109" s="726"/>
      <c r="AK109" s="726"/>
      <c r="AL109" s="726"/>
      <c r="AM109" s="726"/>
      <c r="AN109" s="726"/>
      <c r="AO109" s="726"/>
      <c r="AP109" s="726"/>
      <c r="AQ109" s="726"/>
      <c r="AR109" s="726"/>
      <c r="AS109" s="726"/>
      <c r="AT109" s="726"/>
      <c r="AU109" s="726"/>
      <c r="AV109" s="726"/>
      <c r="AW109" s="726"/>
      <c r="AX109" s="726"/>
      <c r="AY109" s="726"/>
      <c r="AZ109" s="726"/>
      <c r="BA109" s="726"/>
      <c r="BB109" s="726"/>
      <c r="BC109" s="726"/>
      <c r="BD109" s="726"/>
      <c r="BE109" s="726"/>
      <c r="BF109" s="726"/>
      <c r="BG109" s="726"/>
    </row>
    <row r="110" spans="1:59" x14ac:dyDescent="0.25">
      <c r="A110" s="727" t="s">
        <v>385</v>
      </c>
      <c r="B110" s="728">
        <v>2579</v>
      </c>
      <c r="C110" s="725">
        <f t="shared" si="2"/>
        <v>161.00171032587693</v>
      </c>
      <c r="D110" s="92"/>
      <c r="E110" s="726"/>
      <c r="F110" s="726"/>
      <c r="G110" s="726"/>
      <c r="H110" s="726"/>
      <c r="I110" s="28"/>
      <c r="J110" s="92"/>
      <c r="K110" s="726"/>
      <c r="L110" s="726"/>
      <c r="M110" s="726"/>
      <c r="N110" s="726"/>
      <c r="O110" s="726"/>
      <c r="P110" s="726"/>
      <c r="Q110" s="726"/>
      <c r="R110" s="726"/>
      <c r="S110" s="726"/>
      <c r="T110" s="726"/>
      <c r="U110" s="726"/>
      <c r="V110" s="726"/>
      <c r="W110" s="726"/>
      <c r="X110" s="726"/>
      <c r="Y110" s="726"/>
      <c r="Z110" s="726"/>
      <c r="AA110" s="726"/>
      <c r="AB110" s="726"/>
      <c r="AC110" s="726"/>
      <c r="AD110" s="726"/>
      <c r="AE110" s="726"/>
      <c r="AF110" s="726"/>
      <c r="AG110" s="726"/>
      <c r="AH110" s="726"/>
      <c r="AI110" s="726"/>
      <c r="AJ110" s="726"/>
      <c r="AK110" s="726"/>
      <c r="AL110" s="726"/>
      <c r="AM110" s="726"/>
      <c r="AN110" s="726"/>
      <c r="AO110" s="726"/>
      <c r="AP110" s="726"/>
      <c r="AQ110" s="726"/>
      <c r="AR110" s="726"/>
      <c r="AS110" s="726"/>
      <c r="AT110" s="726"/>
      <c r="AU110" s="726"/>
      <c r="AV110" s="726"/>
      <c r="AW110" s="726"/>
      <c r="AX110" s="726"/>
      <c r="AY110" s="726"/>
      <c r="AZ110" s="726"/>
      <c r="BA110" s="726"/>
      <c r="BB110" s="726"/>
      <c r="BC110" s="726"/>
      <c r="BD110" s="726"/>
      <c r="BE110" s="726"/>
      <c r="BF110" s="726"/>
      <c r="BG110" s="726"/>
    </row>
    <row r="111" spans="1:59" x14ac:dyDescent="0.25">
      <c r="A111" s="729" t="s">
        <v>186</v>
      </c>
      <c r="B111" s="730">
        <v>1615</v>
      </c>
      <c r="C111" s="725">
        <f t="shared" si="2"/>
        <v>100.82115633047353</v>
      </c>
      <c r="D111" s="92"/>
      <c r="E111" s="726"/>
      <c r="F111" s="726"/>
      <c r="G111" s="726"/>
      <c r="H111" s="726"/>
      <c r="I111" s="28"/>
      <c r="J111" s="92"/>
      <c r="K111" s="726"/>
      <c r="L111" s="726"/>
      <c r="M111" s="726"/>
      <c r="N111" s="726"/>
      <c r="O111" s="726"/>
      <c r="P111" s="726"/>
      <c r="Q111" s="726"/>
      <c r="R111" s="726"/>
      <c r="S111" s="726"/>
      <c r="T111" s="726"/>
      <c r="U111" s="726"/>
      <c r="V111" s="726"/>
      <c r="W111" s="726"/>
      <c r="X111" s="726"/>
      <c r="Y111" s="726"/>
      <c r="Z111" s="726"/>
      <c r="AA111" s="726"/>
      <c r="AB111" s="726"/>
      <c r="AC111" s="726"/>
      <c r="AD111" s="726"/>
      <c r="AE111" s="726"/>
      <c r="AF111" s="726"/>
      <c r="AG111" s="726"/>
      <c r="AH111" s="726"/>
      <c r="AI111" s="726"/>
      <c r="AJ111" s="726"/>
      <c r="AK111" s="726"/>
      <c r="AL111" s="726"/>
      <c r="AM111" s="726"/>
      <c r="AN111" s="726"/>
      <c r="AO111" s="726"/>
      <c r="AP111" s="726"/>
      <c r="AQ111" s="726"/>
      <c r="AR111" s="726"/>
      <c r="AS111" s="726"/>
      <c r="AT111" s="726"/>
      <c r="AU111" s="726"/>
      <c r="AV111" s="726"/>
      <c r="AW111" s="726"/>
      <c r="AX111" s="726"/>
      <c r="AY111" s="726"/>
      <c r="AZ111" s="726"/>
      <c r="BA111" s="726"/>
      <c r="BB111" s="726"/>
      <c r="BC111" s="726"/>
      <c r="BD111" s="726"/>
      <c r="BE111" s="726"/>
      <c r="BF111" s="726"/>
      <c r="BG111" s="726"/>
    </row>
    <row r="112" spans="1:59" x14ac:dyDescent="0.25">
      <c r="A112" s="727" t="s">
        <v>187</v>
      </c>
      <c r="B112" s="728">
        <v>2579</v>
      </c>
      <c r="C112" s="725">
        <f t="shared" si="2"/>
        <v>161.00171032587693</v>
      </c>
      <c r="D112" s="92"/>
      <c r="E112" s="726"/>
      <c r="F112" s="726"/>
      <c r="G112" s="726"/>
      <c r="H112" s="726"/>
      <c r="I112" s="28"/>
      <c r="J112" s="92"/>
      <c r="K112" s="726"/>
      <c r="L112" s="726"/>
      <c r="M112" s="726"/>
      <c r="N112" s="726"/>
      <c r="O112" s="726"/>
      <c r="P112" s="726"/>
      <c r="Q112" s="726"/>
      <c r="R112" s="726"/>
      <c r="S112" s="726"/>
      <c r="T112" s="726"/>
      <c r="U112" s="726"/>
      <c r="V112" s="726"/>
      <c r="W112" s="726"/>
      <c r="X112" s="726"/>
      <c r="Y112" s="726"/>
      <c r="Z112" s="726"/>
      <c r="AA112" s="726"/>
      <c r="AB112" s="726"/>
      <c r="AC112" s="726"/>
      <c r="AD112" s="726"/>
      <c r="AE112" s="726"/>
      <c r="AF112" s="726"/>
      <c r="AG112" s="726"/>
      <c r="AH112" s="726"/>
      <c r="AI112" s="726"/>
      <c r="AJ112" s="726"/>
      <c r="AK112" s="726"/>
      <c r="AL112" s="726"/>
      <c r="AM112" s="726"/>
      <c r="AN112" s="726"/>
      <c r="AO112" s="726"/>
      <c r="AP112" s="726"/>
      <c r="AQ112" s="726"/>
      <c r="AR112" s="726"/>
      <c r="AS112" s="726"/>
      <c r="AT112" s="726"/>
      <c r="AU112" s="726"/>
      <c r="AV112" s="726"/>
      <c r="AW112" s="726"/>
      <c r="AX112" s="726"/>
      <c r="AY112" s="726"/>
      <c r="AZ112" s="726"/>
      <c r="BA112" s="726"/>
      <c r="BB112" s="726"/>
      <c r="BC112" s="726"/>
      <c r="BD112" s="726"/>
      <c r="BE112" s="726"/>
      <c r="BF112" s="726"/>
      <c r="BG112" s="726"/>
    </row>
    <row r="113" spans="1:59" x14ac:dyDescent="0.25">
      <c r="A113" s="729" t="s">
        <v>188</v>
      </c>
      <c r="B113" s="730">
        <v>1650</v>
      </c>
      <c r="C113" s="725">
        <f t="shared" si="2"/>
        <v>103.0061349506386</v>
      </c>
      <c r="D113" s="92"/>
      <c r="E113" s="726"/>
      <c r="F113" s="726"/>
      <c r="G113" s="726"/>
      <c r="H113" s="726"/>
      <c r="I113" s="28"/>
      <c r="J113" s="92"/>
      <c r="K113" s="726"/>
      <c r="L113" s="726"/>
      <c r="M113" s="726"/>
      <c r="N113" s="726"/>
      <c r="O113" s="726"/>
      <c r="P113" s="726"/>
      <c r="Q113" s="726"/>
      <c r="R113" s="726"/>
      <c r="S113" s="726"/>
      <c r="T113" s="726"/>
      <c r="U113" s="726"/>
      <c r="V113" s="726"/>
      <c r="W113" s="726"/>
      <c r="X113" s="726"/>
      <c r="Y113" s="726"/>
      <c r="Z113" s="726"/>
      <c r="AA113" s="726"/>
      <c r="AB113" s="726"/>
      <c r="AC113" s="726"/>
      <c r="AD113" s="726"/>
      <c r="AE113" s="726"/>
      <c r="AF113" s="726"/>
      <c r="AG113" s="726"/>
      <c r="AH113" s="726"/>
      <c r="AI113" s="726"/>
      <c r="AJ113" s="726"/>
      <c r="AK113" s="726"/>
      <c r="AL113" s="726"/>
      <c r="AM113" s="726"/>
      <c r="AN113" s="726"/>
      <c r="AO113" s="726"/>
      <c r="AP113" s="726"/>
      <c r="AQ113" s="726"/>
      <c r="AR113" s="726"/>
      <c r="AS113" s="726"/>
      <c r="AT113" s="726"/>
      <c r="AU113" s="726"/>
      <c r="AV113" s="726"/>
      <c r="AW113" s="726"/>
      <c r="AX113" s="726"/>
      <c r="AY113" s="726"/>
      <c r="AZ113" s="726"/>
      <c r="BA113" s="726"/>
      <c r="BB113" s="726"/>
      <c r="BC113" s="726"/>
      <c r="BD113" s="726"/>
      <c r="BE113" s="726"/>
      <c r="BF113" s="726"/>
      <c r="BG113" s="726"/>
    </row>
    <row r="114" spans="1:59" x14ac:dyDescent="0.25">
      <c r="A114" s="727" t="s">
        <v>189</v>
      </c>
      <c r="B114" s="728">
        <v>2691</v>
      </c>
      <c r="C114" s="725">
        <f t="shared" si="2"/>
        <v>167.99364191040513</v>
      </c>
      <c r="D114" s="747">
        <v>52</v>
      </c>
      <c r="E114" s="726"/>
      <c r="F114" s="726"/>
      <c r="G114" s="726"/>
      <c r="H114" s="726"/>
      <c r="I114" s="746"/>
      <c r="J114" s="747"/>
      <c r="K114" s="726"/>
      <c r="L114" s="726"/>
      <c r="M114" s="726"/>
      <c r="N114" s="726"/>
      <c r="O114" s="726"/>
      <c r="P114" s="726"/>
      <c r="Q114" s="726"/>
      <c r="R114" s="726"/>
      <c r="S114" s="726"/>
      <c r="T114" s="726"/>
      <c r="U114" s="726"/>
      <c r="V114" s="726"/>
      <c r="W114" s="726"/>
      <c r="X114" s="726"/>
      <c r="Y114" s="726"/>
      <c r="Z114" s="726"/>
      <c r="AA114" s="726"/>
      <c r="AB114" s="726"/>
      <c r="AC114" s="726"/>
      <c r="AD114" s="726"/>
      <c r="AE114" s="726"/>
      <c r="AF114" s="726"/>
      <c r="AG114" s="726"/>
      <c r="AH114" s="726"/>
      <c r="AI114" s="726"/>
      <c r="AJ114" s="726"/>
      <c r="AK114" s="726"/>
      <c r="AL114" s="726"/>
      <c r="AM114" s="726"/>
      <c r="AN114" s="726"/>
      <c r="AO114" s="726"/>
      <c r="AP114" s="726"/>
      <c r="AQ114" s="726"/>
      <c r="AR114" s="726"/>
      <c r="AS114" s="726"/>
      <c r="AT114" s="726"/>
      <c r="AU114" s="726"/>
      <c r="AV114" s="726"/>
      <c r="AW114" s="726"/>
      <c r="AX114" s="726"/>
      <c r="AY114" s="726"/>
      <c r="AZ114" s="726"/>
      <c r="BA114" s="726"/>
      <c r="BB114" s="726"/>
      <c r="BC114" s="726"/>
      <c r="BD114" s="726"/>
      <c r="BE114" s="726"/>
      <c r="BF114" s="726"/>
      <c r="BG114" s="726"/>
    </row>
    <row r="115" spans="1:59" x14ac:dyDescent="0.25">
      <c r="A115" s="727" t="s">
        <v>190</v>
      </c>
      <c r="B115" s="728">
        <v>641</v>
      </c>
      <c r="C115" s="725">
        <f t="shared" si="2"/>
        <v>40.01632272930869</v>
      </c>
      <c r="D115" s="92"/>
      <c r="E115" s="726"/>
      <c r="F115" s="726"/>
      <c r="G115" s="726"/>
      <c r="H115" s="726"/>
      <c r="K115" s="726"/>
      <c r="L115" s="726"/>
      <c r="M115" s="726"/>
      <c r="N115" s="726"/>
      <c r="O115" s="726"/>
      <c r="P115" s="726"/>
      <c r="Q115" s="726"/>
      <c r="R115" s="726"/>
      <c r="S115" s="726"/>
      <c r="T115" s="726"/>
      <c r="U115" s="726"/>
      <c r="V115" s="726"/>
      <c r="W115" s="726"/>
      <c r="X115" s="726"/>
      <c r="Y115" s="726"/>
      <c r="Z115" s="726"/>
      <c r="AA115" s="726"/>
      <c r="AB115" s="726"/>
      <c r="AC115" s="726"/>
      <c r="AD115" s="726"/>
      <c r="AE115" s="726"/>
      <c r="AF115" s="726"/>
      <c r="AG115" s="726"/>
      <c r="AH115" s="726"/>
      <c r="AI115" s="726"/>
      <c r="AJ115" s="726"/>
      <c r="AK115" s="726"/>
      <c r="AL115" s="726"/>
      <c r="AM115" s="726"/>
      <c r="AN115" s="726"/>
      <c r="AO115" s="726"/>
      <c r="AP115" s="726"/>
      <c r="AQ115" s="726"/>
      <c r="AR115" s="726"/>
      <c r="AS115" s="726"/>
      <c r="AT115" s="726"/>
      <c r="AU115" s="726"/>
      <c r="AV115" s="726"/>
      <c r="AW115" s="726"/>
      <c r="AX115" s="726"/>
      <c r="AY115" s="726"/>
      <c r="AZ115" s="726"/>
      <c r="BA115" s="726"/>
      <c r="BB115" s="726"/>
      <c r="BC115" s="726"/>
      <c r="BD115" s="726"/>
      <c r="BE115" s="726"/>
      <c r="BF115" s="726"/>
      <c r="BG115" s="726"/>
    </row>
    <row r="116" spans="1:59" x14ac:dyDescent="0.25">
      <c r="A116" s="729" t="s">
        <v>191</v>
      </c>
      <c r="B116" s="730">
        <v>1682</v>
      </c>
      <c r="C116" s="725">
        <f t="shared" si="2"/>
        <v>105.00382968907523</v>
      </c>
      <c r="D116" s="92"/>
      <c r="E116" s="726"/>
      <c r="F116" s="726"/>
      <c r="G116" s="726"/>
      <c r="H116" s="726"/>
      <c r="K116" s="726"/>
      <c r="L116" s="726"/>
      <c r="M116" s="726"/>
      <c r="N116" s="726"/>
      <c r="O116" s="726"/>
      <c r="P116" s="726"/>
      <c r="Q116" s="726"/>
      <c r="R116" s="726"/>
      <c r="S116" s="726"/>
      <c r="T116" s="726"/>
      <c r="U116" s="726"/>
      <c r="V116" s="726"/>
      <c r="W116" s="726"/>
      <c r="X116" s="726"/>
      <c r="Y116" s="726"/>
      <c r="Z116" s="726"/>
      <c r="AA116" s="726"/>
      <c r="AB116" s="726"/>
      <c r="AC116" s="726"/>
      <c r="AD116" s="726"/>
      <c r="AE116" s="726"/>
      <c r="AF116" s="726"/>
      <c r="AG116" s="726"/>
      <c r="AH116" s="726"/>
      <c r="AI116" s="726"/>
      <c r="AJ116" s="726"/>
      <c r="AK116" s="726"/>
      <c r="AL116" s="726"/>
      <c r="AM116" s="726"/>
      <c r="AN116" s="726"/>
      <c r="AO116" s="726"/>
      <c r="AP116" s="726"/>
      <c r="AQ116" s="726"/>
      <c r="AR116" s="726"/>
      <c r="AS116" s="726"/>
      <c r="AT116" s="726"/>
      <c r="AU116" s="726"/>
      <c r="AV116" s="726"/>
      <c r="AW116" s="726"/>
      <c r="AX116" s="726"/>
      <c r="AY116" s="726"/>
      <c r="AZ116" s="726"/>
      <c r="BA116" s="726"/>
      <c r="BB116" s="726"/>
      <c r="BC116" s="726"/>
      <c r="BD116" s="726"/>
      <c r="BE116" s="726"/>
      <c r="BF116" s="726"/>
      <c r="BG116" s="726"/>
    </row>
    <row r="117" spans="1:59" x14ac:dyDescent="0.25">
      <c r="A117" s="729" t="s">
        <v>192</v>
      </c>
      <c r="B117" s="730">
        <v>1522</v>
      </c>
      <c r="C117" s="725">
        <f t="shared" si="2"/>
        <v>95.015355996892083</v>
      </c>
      <c r="D117" s="92"/>
      <c r="E117" s="726"/>
      <c r="F117" s="726"/>
      <c r="G117" s="726"/>
      <c r="H117" s="726"/>
      <c r="I117" s="746"/>
      <c r="J117" s="747"/>
      <c r="K117" s="726"/>
      <c r="L117" s="726"/>
      <c r="M117" s="726"/>
      <c r="N117" s="726"/>
      <c r="O117" s="726"/>
      <c r="P117" s="726"/>
      <c r="Q117" s="726"/>
      <c r="R117" s="726"/>
      <c r="S117" s="726"/>
      <c r="T117" s="726"/>
      <c r="U117" s="726"/>
      <c r="V117" s="726"/>
      <c r="W117" s="726"/>
      <c r="X117" s="726"/>
      <c r="Y117" s="726"/>
      <c r="Z117" s="726"/>
      <c r="AA117" s="726"/>
      <c r="AB117" s="726"/>
      <c r="AC117" s="726"/>
      <c r="AD117" s="726"/>
      <c r="AE117" s="726"/>
      <c r="AF117" s="726"/>
      <c r="AG117" s="726"/>
      <c r="AH117" s="726"/>
      <c r="AI117" s="726"/>
      <c r="AJ117" s="726"/>
      <c r="AK117" s="726"/>
      <c r="AL117" s="726"/>
      <c r="AM117" s="726"/>
      <c r="AN117" s="726"/>
      <c r="AO117" s="726"/>
      <c r="AP117" s="726"/>
      <c r="AQ117" s="726"/>
      <c r="AR117" s="726"/>
      <c r="AS117" s="726"/>
      <c r="AT117" s="726"/>
      <c r="AU117" s="726"/>
      <c r="AV117" s="726"/>
      <c r="AW117" s="726"/>
      <c r="AX117" s="726"/>
      <c r="AY117" s="726"/>
      <c r="AZ117" s="726"/>
      <c r="BA117" s="726"/>
      <c r="BB117" s="726"/>
      <c r="BC117" s="726"/>
      <c r="BD117" s="726"/>
      <c r="BE117" s="726"/>
      <c r="BF117" s="726"/>
      <c r="BG117" s="726"/>
    </row>
    <row r="118" spans="1:59" x14ac:dyDescent="0.25">
      <c r="A118" s="731" t="s">
        <v>193</v>
      </c>
      <c r="B118" s="732">
        <v>2002</v>
      </c>
      <c r="C118" s="725">
        <f t="shared" si="2"/>
        <v>124.98077707344149</v>
      </c>
      <c r="D118" s="92"/>
      <c r="E118" s="726"/>
      <c r="F118" s="726"/>
      <c r="G118" s="726"/>
      <c r="H118" s="726"/>
      <c r="K118" s="726"/>
      <c r="L118" s="726"/>
      <c r="M118" s="726"/>
      <c r="N118" s="726"/>
      <c r="O118" s="726"/>
      <c r="P118" s="726"/>
      <c r="Q118" s="726"/>
      <c r="R118" s="726"/>
      <c r="S118" s="726"/>
      <c r="T118" s="726"/>
      <c r="U118" s="726"/>
      <c r="V118" s="726"/>
      <c r="W118" s="726"/>
      <c r="X118" s="726"/>
      <c r="Y118" s="726"/>
      <c r="Z118" s="726"/>
      <c r="AA118" s="726"/>
      <c r="AB118" s="726"/>
      <c r="AC118" s="726"/>
      <c r="AD118" s="726"/>
      <c r="AE118" s="726"/>
      <c r="AF118" s="726"/>
      <c r="AG118" s="726"/>
      <c r="AH118" s="726"/>
      <c r="AI118" s="726"/>
      <c r="AJ118" s="726"/>
      <c r="AK118" s="726"/>
      <c r="AL118" s="726"/>
      <c r="AM118" s="726"/>
      <c r="AN118" s="726"/>
      <c r="AO118" s="726"/>
      <c r="AP118" s="726"/>
      <c r="AQ118" s="726"/>
      <c r="AR118" s="726"/>
      <c r="AS118" s="726"/>
      <c r="AT118" s="726"/>
      <c r="AU118" s="726"/>
      <c r="AV118" s="726"/>
      <c r="AW118" s="726"/>
      <c r="AX118" s="726"/>
      <c r="AY118" s="726"/>
      <c r="AZ118" s="726"/>
      <c r="BA118" s="726"/>
      <c r="BB118" s="726"/>
      <c r="BC118" s="726"/>
      <c r="BD118" s="726"/>
      <c r="BE118" s="726"/>
      <c r="BF118" s="726"/>
      <c r="BG118" s="726"/>
    </row>
    <row r="119" spans="1:59" x14ac:dyDescent="0.25">
      <c r="A119" s="727" t="s">
        <v>194</v>
      </c>
      <c r="B119" s="728">
        <v>1922</v>
      </c>
      <c r="C119" s="725">
        <f t="shared" si="2"/>
        <v>119.98654022734993</v>
      </c>
      <c r="D119" s="92"/>
      <c r="E119" s="726"/>
      <c r="F119" s="726"/>
      <c r="G119" s="726"/>
      <c r="H119" s="726"/>
      <c r="I119" s="746"/>
      <c r="J119" s="747"/>
      <c r="K119" s="726"/>
      <c r="L119" s="726"/>
      <c r="M119" s="726"/>
      <c r="N119" s="726"/>
      <c r="O119" s="726"/>
      <c r="P119" s="726"/>
      <c r="Q119" s="726"/>
      <c r="R119" s="726"/>
      <c r="S119" s="726"/>
      <c r="T119" s="726"/>
      <c r="U119" s="726"/>
      <c r="V119" s="726"/>
      <c r="W119" s="726"/>
      <c r="X119" s="726"/>
      <c r="Y119" s="726"/>
      <c r="Z119" s="726"/>
      <c r="AA119" s="726"/>
      <c r="AB119" s="726"/>
      <c r="AC119" s="726"/>
      <c r="AD119" s="726"/>
      <c r="AE119" s="726"/>
      <c r="AF119" s="726"/>
      <c r="AG119" s="726"/>
      <c r="AH119" s="726"/>
      <c r="AI119" s="726"/>
      <c r="AJ119" s="726"/>
      <c r="AK119" s="726"/>
      <c r="AL119" s="726"/>
      <c r="AM119" s="726"/>
      <c r="AN119" s="726"/>
      <c r="AO119" s="726"/>
      <c r="AP119" s="726"/>
      <c r="AQ119" s="726"/>
      <c r="AR119" s="726"/>
      <c r="AS119" s="726"/>
      <c r="AT119" s="726"/>
      <c r="AU119" s="726"/>
      <c r="AV119" s="726"/>
      <c r="AW119" s="726"/>
      <c r="AX119" s="726"/>
      <c r="AY119" s="726"/>
      <c r="AZ119" s="726"/>
      <c r="BA119" s="726"/>
      <c r="BB119" s="726"/>
      <c r="BC119" s="726"/>
      <c r="BD119" s="726"/>
      <c r="BE119" s="726"/>
      <c r="BF119" s="726"/>
      <c r="BG119" s="726"/>
    </row>
    <row r="120" spans="1:59" x14ac:dyDescent="0.25">
      <c r="A120" s="28" t="s">
        <v>85</v>
      </c>
      <c r="B120" s="732">
        <v>1667</v>
      </c>
      <c r="C120" s="725">
        <f t="shared" si="2"/>
        <v>104.06741028043305</v>
      </c>
      <c r="D120" s="92"/>
      <c r="E120" s="726"/>
      <c r="F120" s="726"/>
      <c r="G120" s="726"/>
      <c r="H120" s="726"/>
      <c r="K120" s="726"/>
      <c r="L120" s="726"/>
      <c r="M120" s="726"/>
      <c r="N120" s="726"/>
      <c r="O120" s="726"/>
      <c r="P120" s="726"/>
      <c r="Q120" s="726"/>
      <c r="R120" s="726"/>
      <c r="S120" s="726"/>
      <c r="T120" s="726"/>
      <c r="U120" s="726"/>
      <c r="V120" s="726"/>
      <c r="W120" s="726"/>
      <c r="X120" s="726"/>
      <c r="Y120" s="726"/>
      <c r="Z120" s="726"/>
      <c r="AA120" s="726"/>
      <c r="AB120" s="726"/>
      <c r="AC120" s="726"/>
      <c r="AD120" s="726"/>
      <c r="AE120" s="726"/>
      <c r="AF120" s="726"/>
      <c r="AG120" s="726"/>
      <c r="AH120" s="726"/>
      <c r="AI120" s="726"/>
      <c r="AJ120" s="726"/>
      <c r="AK120" s="726"/>
      <c r="AL120" s="726"/>
      <c r="AM120" s="726"/>
      <c r="AN120" s="726"/>
      <c r="AO120" s="726"/>
      <c r="AP120" s="726"/>
      <c r="AQ120" s="726"/>
      <c r="AR120" s="726"/>
      <c r="AS120" s="726"/>
      <c r="AT120" s="726"/>
      <c r="AU120" s="726"/>
      <c r="AV120" s="726"/>
      <c r="AW120" s="726"/>
      <c r="AX120" s="726"/>
      <c r="AY120" s="726"/>
      <c r="AZ120" s="726"/>
      <c r="BA120" s="726"/>
      <c r="BB120" s="726"/>
      <c r="BC120" s="726"/>
      <c r="BD120" s="726"/>
      <c r="BE120" s="726"/>
      <c r="BF120" s="726"/>
      <c r="BG120" s="726"/>
    </row>
    <row r="121" spans="1:59" x14ac:dyDescent="0.25">
      <c r="A121" s="727" t="s">
        <v>195</v>
      </c>
      <c r="B121" s="728">
        <v>5145</v>
      </c>
      <c r="C121" s="725">
        <f t="shared" si="2"/>
        <v>321.19185716426398</v>
      </c>
      <c r="D121" s="92"/>
      <c r="E121" s="726"/>
      <c r="F121" s="726"/>
      <c r="G121" s="726"/>
      <c r="H121" s="726"/>
      <c r="K121" s="726"/>
      <c r="L121" s="726"/>
      <c r="M121" s="726"/>
      <c r="N121" s="726"/>
      <c r="O121" s="726"/>
      <c r="P121" s="726"/>
      <c r="Q121" s="726"/>
      <c r="R121" s="726"/>
      <c r="S121" s="726"/>
      <c r="T121" s="726"/>
      <c r="U121" s="726"/>
      <c r="V121" s="726"/>
      <c r="W121" s="726"/>
      <c r="X121" s="726"/>
      <c r="Y121" s="726"/>
      <c r="Z121" s="726"/>
      <c r="AA121" s="726"/>
      <c r="AB121" s="726"/>
      <c r="AC121" s="726"/>
      <c r="AD121" s="726"/>
      <c r="AE121" s="726"/>
      <c r="AF121" s="726"/>
      <c r="AG121" s="726"/>
      <c r="AH121" s="726"/>
      <c r="AI121" s="726"/>
      <c r="AJ121" s="726"/>
      <c r="AK121" s="726"/>
      <c r="AL121" s="726"/>
      <c r="AM121" s="726"/>
      <c r="AN121" s="726"/>
      <c r="AO121" s="726"/>
      <c r="AP121" s="726"/>
      <c r="AQ121" s="726"/>
      <c r="AR121" s="726"/>
      <c r="AS121" s="726"/>
      <c r="AT121" s="726"/>
      <c r="AU121" s="726"/>
      <c r="AV121" s="726"/>
      <c r="AW121" s="726"/>
      <c r="AX121" s="726"/>
      <c r="AY121" s="726"/>
      <c r="AZ121" s="726"/>
      <c r="BA121" s="726"/>
      <c r="BB121" s="726"/>
      <c r="BC121" s="726"/>
      <c r="BD121" s="726"/>
      <c r="BE121" s="726"/>
      <c r="BF121" s="726"/>
      <c r="BG121" s="726"/>
    </row>
    <row r="122" spans="1:59" x14ac:dyDescent="0.25">
      <c r="A122" s="729" t="s">
        <v>68</v>
      </c>
      <c r="B122" s="730">
        <v>800</v>
      </c>
      <c r="C122" s="725">
        <f t="shared" si="2"/>
        <v>49.942368460915681</v>
      </c>
      <c r="D122" s="92"/>
      <c r="E122" s="726"/>
      <c r="F122" s="726"/>
      <c r="G122" s="726"/>
      <c r="H122" s="726"/>
      <c r="K122" s="726"/>
      <c r="L122" s="726"/>
      <c r="M122" s="726"/>
      <c r="N122" s="726"/>
      <c r="O122" s="726"/>
      <c r="P122" s="726"/>
      <c r="Q122" s="726"/>
      <c r="R122" s="726"/>
      <c r="S122" s="726"/>
      <c r="T122" s="726"/>
      <c r="U122" s="726"/>
      <c r="V122" s="726"/>
      <c r="W122" s="726"/>
      <c r="X122" s="726"/>
      <c r="Y122" s="726"/>
      <c r="Z122" s="726"/>
      <c r="AA122" s="726"/>
      <c r="AB122" s="726"/>
      <c r="AC122" s="726"/>
      <c r="AD122" s="726"/>
      <c r="AE122" s="726"/>
      <c r="AF122" s="726"/>
      <c r="AG122" s="726"/>
      <c r="AH122" s="726"/>
      <c r="AI122" s="726"/>
      <c r="AJ122" s="726"/>
      <c r="AK122" s="726"/>
      <c r="AL122" s="726"/>
      <c r="AM122" s="726"/>
      <c r="AN122" s="726"/>
      <c r="AO122" s="726"/>
      <c r="AP122" s="726"/>
      <c r="AQ122" s="726"/>
      <c r="AR122" s="726"/>
      <c r="AS122" s="726"/>
      <c r="AT122" s="726"/>
      <c r="AU122" s="726"/>
      <c r="AV122" s="726"/>
      <c r="AW122" s="726"/>
      <c r="AX122" s="726"/>
      <c r="AY122" s="726"/>
      <c r="AZ122" s="726"/>
      <c r="BA122" s="726"/>
      <c r="BB122" s="726"/>
      <c r="BC122" s="726"/>
      <c r="BD122" s="726"/>
      <c r="BE122" s="726"/>
      <c r="BF122" s="726"/>
      <c r="BG122" s="726"/>
    </row>
    <row r="123" spans="1:59" x14ac:dyDescent="0.25">
      <c r="A123" s="727" t="s">
        <v>196</v>
      </c>
      <c r="B123" s="728">
        <v>1445</v>
      </c>
      <c r="C123" s="725">
        <f t="shared" si="2"/>
        <v>90.208403032528949</v>
      </c>
      <c r="D123" s="92"/>
      <c r="E123" s="726"/>
      <c r="F123" s="726"/>
      <c r="G123" s="726"/>
      <c r="H123" s="726"/>
      <c r="K123" s="726"/>
      <c r="L123" s="726"/>
      <c r="M123" s="726"/>
      <c r="N123" s="726"/>
      <c r="O123" s="726"/>
      <c r="P123" s="726"/>
      <c r="Q123" s="726"/>
      <c r="R123" s="726"/>
      <c r="S123" s="726"/>
      <c r="T123" s="726"/>
      <c r="U123" s="726"/>
      <c r="V123" s="726"/>
      <c r="W123" s="726"/>
      <c r="X123" s="726"/>
      <c r="Y123" s="726"/>
      <c r="Z123" s="726"/>
      <c r="AA123" s="726"/>
      <c r="AB123" s="726"/>
      <c r="AC123" s="726"/>
      <c r="AD123" s="726"/>
      <c r="AE123" s="726"/>
      <c r="AF123" s="726"/>
      <c r="AG123" s="726"/>
      <c r="AH123" s="726"/>
      <c r="AI123" s="726"/>
      <c r="AJ123" s="726"/>
      <c r="AK123" s="726"/>
      <c r="AL123" s="726"/>
      <c r="AM123" s="726"/>
      <c r="AN123" s="726"/>
      <c r="AO123" s="726"/>
      <c r="AP123" s="726"/>
      <c r="AQ123" s="726"/>
      <c r="AR123" s="726"/>
      <c r="AS123" s="726"/>
      <c r="AT123" s="726"/>
      <c r="AU123" s="726"/>
      <c r="AV123" s="726"/>
      <c r="AW123" s="726"/>
      <c r="AX123" s="726"/>
      <c r="AY123" s="726"/>
      <c r="AZ123" s="726"/>
      <c r="BA123" s="726"/>
      <c r="BB123" s="726"/>
      <c r="BC123" s="726"/>
      <c r="BD123" s="726"/>
      <c r="BE123" s="726"/>
      <c r="BF123" s="726"/>
      <c r="BG123" s="726"/>
    </row>
    <row r="124" spans="1:59" x14ac:dyDescent="0.25">
      <c r="A124" s="729" t="s">
        <v>197</v>
      </c>
      <c r="B124" s="730">
        <v>1602</v>
      </c>
      <c r="C124" s="725">
        <f t="shared" si="2"/>
        <v>100.00959284298365</v>
      </c>
      <c r="D124" s="92"/>
      <c r="E124" s="726"/>
      <c r="F124" s="726"/>
      <c r="G124" s="726"/>
      <c r="H124" s="726"/>
      <c r="K124" s="726"/>
      <c r="L124" s="726"/>
      <c r="M124" s="726"/>
      <c r="N124" s="726"/>
      <c r="O124" s="726"/>
      <c r="P124" s="726"/>
      <c r="Q124" s="726"/>
      <c r="R124" s="726"/>
      <c r="S124" s="726"/>
      <c r="T124" s="726"/>
      <c r="U124" s="726"/>
      <c r="V124" s="726"/>
      <c r="W124" s="726"/>
      <c r="X124" s="726"/>
      <c r="Y124" s="726"/>
      <c r="Z124" s="726"/>
      <c r="AA124" s="726"/>
      <c r="AB124" s="726"/>
      <c r="AC124" s="726"/>
      <c r="AD124" s="726"/>
      <c r="AE124" s="726"/>
      <c r="AF124" s="726"/>
      <c r="AG124" s="726"/>
      <c r="AH124" s="726"/>
      <c r="AI124" s="726"/>
      <c r="AJ124" s="726"/>
      <c r="AK124" s="726"/>
      <c r="AL124" s="726"/>
      <c r="AM124" s="726"/>
      <c r="AN124" s="726"/>
      <c r="AO124" s="726"/>
      <c r="AP124" s="726"/>
      <c r="AQ124" s="726"/>
      <c r="AR124" s="726"/>
      <c r="AS124" s="726"/>
      <c r="AT124" s="726"/>
      <c r="AU124" s="726"/>
      <c r="AV124" s="726"/>
      <c r="AW124" s="726"/>
      <c r="AX124" s="726"/>
      <c r="AY124" s="726"/>
      <c r="AZ124" s="726"/>
      <c r="BA124" s="726"/>
      <c r="BB124" s="726"/>
      <c r="BC124" s="726"/>
      <c r="BD124" s="726"/>
      <c r="BE124" s="726"/>
      <c r="BF124" s="726"/>
      <c r="BG124" s="726"/>
    </row>
    <row r="125" spans="1:59" x14ac:dyDescent="0.25">
      <c r="A125" s="727" t="s">
        <v>198</v>
      </c>
      <c r="B125" s="728">
        <v>1121</v>
      </c>
      <c r="C125" s="725">
        <f t="shared" si="2"/>
        <v>69.981743805858102</v>
      </c>
      <c r="D125" s="92"/>
      <c r="E125" s="726"/>
      <c r="F125" s="726"/>
      <c r="G125" s="726"/>
      <c r="H125" s="726"/>
      <c r="I125" s="746"/>
      <c r="J125" s="747"/>
      <c r="K125" s="726"/>
      <c r="L125" s="726"/>
      <c r="M125" s="726"/>
      <c r="N125" s="726"/>
      <c r="O125" s="726"/>
      <c r="P125" s="726"/>
      <c r="Q125" s="726"/>
      <c r="R125" s="726"/>
      <c r="S125" s="726"/>
      <c r="T125" s="726"/>
      <c r="U125" s="726"/>
      <c r="V125" s="726"/>
      <c r="W125" s="726"/>
      <c r="X125" s="726"/>
      <c r="Y125" s="726"/>
      <c r="Z125" s="726"/>
      <c r="AA125" s="726"/>
      <c r="AB125" s="726"/>
      <c r="AC125" s="726"/>
      <c r="AD125" s="726"/>
      <c r="AE125" s="726"/>
      <c r="AF125" s="726"/>
      <c r="AG125" s="726"/>
      <c r="AH125" s="726"/>
      <c r="AI125" s="726"/>
      <c r="AJ125" s="726"/>
      <c r="AK125" s="726"/>
      <c r="AL125" s="726"/>
      <c r="AM125" s="726"/>
      <c r="AN125" s="726"/>
      <c r="AO125" s="726"/>
      <c r="AP125" s="726"/>
      <c r="AQ125" s="726"/>
      <c r="AR125" s="726"/>
      <c r="AS125" s="726"/>
      <c r="AT125" s="726"/>
      <c r="AU125" s="726"/>
      <c r="AV125" s="726"/>
      <c r="AW125" s="726"/>
      <c r="AX125" s="726"/>
      <c r="AY125" s="726"/>
      <c r="AZ125" s="726"/>
      <c r="BA125" s="726"/>
      <c r="BB125" s="726"/>
      <c r="BC125" s="726"/>
      <c r="BD125" s="726"/>
      <c r="BE125" s="726"/>
      <c r="BF125" s="726"/>
      <c r="BG125" s="726"/>
    </row>
    <row r="126" spans="1:59" x14ac:dyDescent="0.25">
      <c r="A126" s="729" t="s">
        <v>199</v>
      </c>
      <c r="B126" s="730">
        <v>2787</v>
      </c>
      <c r="C126" s="725">
        <f t="shared" si="2"/>
        <v>173.98672612571499</v>
      </c>
      <c r="D126" s="92"/>
      <c r="E126" s="726"/>
      <c r="F126" s="726"/>
      <c r="G126" s="726"/>
      <c r="H126" s="726"/>
      <c r="K126" s="726"/>
      <c r="L126" s="726"/>
      <c r="M126" s="726"/>
      <c r="N126" s="726"/>
      <c r="O126" s="726"/>
      <c r="P126" s="726"/>
      <c r="Q126" s="726"/>
      <c r="R126" s="726"/>
      <c r="S126" s="726"/>
      <c r="T126" s="726"/>
      <c r="U126" s="726"/>
      <c r="V126" s="726"/>
      <c r="W126" s="726"/>
      <c r="X126" s="726"/>
      <c r="Y126" s="726"/>
      <c r="Z126" s="726"/>
      <c r="AA126" s="726"/>
      <c r="AB126" s="726"/>
      <c r="AC126" s="726"/>
      <c r="AD126" s="726"/>
      <c r="AE126" s="726"/>
      <c r="AF126" s="726"/>
      <c r="AG126" s="726"/>
      <c r="AH126" s="726"/>
      <c r="AI126" s="726"/>
      <c r="AJ126" s="726"/>
      <c r="AK126" s="726"/>
      <c r="AL126" s="726"/>
      <c r="AM126" s="726"/>
      <c r="AN126" s="726"/>
      <c r="AO126" s="726"/>
      <c r="AP126" s="726"/>
      <c r="AQ126" s="726"/>
      <c r="AR126" s="726"/>
      <c r="AS126" s="726"/>
      <c r="AT126" s="726"/>
      <c r="AU126" s="726"/>
      <c r="AV126" s="726"/>
      <c r="AW126" s="726"/>
      <c r="AX126" s="726"/>
      <c r="AY126" s="726"/>
      <c r="AZ126" s="726"/>
      <c r="BA126" s="726"/>
      <c r="BB126" s="726"/>
      <c r="BC126" s="726"/>
      <c r="BD126" s="726"/>
      <c r="BE126" s="726"/>
      <c r="BF126" s="726"/>
      <c r="BG126" s="726"/>
    </row>
    <row r="127" spans="1:59" x14ac:dyDescent="0.25">
      <c r="A127" s="28" t="s">
        <v>200</v>
      </c>
      <c r="B127" s="732">
        <v>1506</v>
      </c>
      <c r="C127" s="725">
        <f t="shared" si="2"/>
        <v>94.016508627673772</v>
      </c>
      <c r="D127" s="92"/>
      <c r="E127" s="726"/>
      <c r="F127" s="726"/>
      <c r="G127" s="726"/>
      <c r="H127" s="726"/>
      <c r="K127" s="726"/>
      <c r="L127" s="726"/>
      <c r="M127" s="726"/>
      <c r="N127" s="726"/>
      <c r="O127" s="726"/>
      <c r="P127" s="726"/>
      <c r="Q127" s="726"/>
      <c r="R127" s="726"/>
      <c r="S127" s="726"/>
      <c r="T127" s="726"/>
      <c r="U127" s="726"/>
      <c r="V127" s="726"/>
      <c r="W127" s="726"/>
      <c r="X127" s="726"/>
      <c r="Y127" s="726"/>
      <c r="Z127" s="726"/>
      <c r="AA127" s="726"/>
      <c r="AB127" s="726"/>
      <c r="AC127" s="726"/>
      <c r="AD127" s="726"/>
      <c r="AE127" s="726"/>
      <c r="AF127" s="726"/>
      <c r="AG127" s="726"/>
      <c r="AH127" s="726"/>
      <c r="AI127" s="726"/>
      <c r="AJ127" s="726"/>
      <c r="AK127" s="726"/>
      <c r="AL127" s="726"/>
      <c r="AM127" s="726"/>
      <c r="AN127" s="726"/>
      <c r="AO127" s="726"/>
      <c r="AP127" s="726"/>
      <c r="AQ127" s="726"/>
      <c r="AR127" s="726"/>
      <c r="AS127" s="726"/>
      <c r="AT127" s="726"/>
      <c r="AU127" s="726"/>
      <c r="AV127" s="726"/>
      <c r="AW127" s="726"/>
      <c r="AX127" s="726"/>
      <c r="AY127" s="726"/>
      <c r="AZ127" s="726"/>
      <c r="BA127" s="726"/>
      <c r="BB127" s="726"/>
      <c r="BC127" s="726"/>
      <c r="BD127" s="726"/>
      <c r="BE127" s="726"/>
      <c r="BF127" s="726"/>
      <c r="BG127" s="726"/>
    </row>
    <row r="128" spans="1:59" x14ac:dyDescent="0.25">
      <c r="A128" s="28" t="s">
        <v>201</v>
      </c>
      <c r="B128" s="732">
        <v>2323</v>
      </c>
      <c r="C128" s="725">
        <f t="shared" si="2"/>
        <v>145.02015241838393</v>
      </c>
      <c r="D128" s="92"/>
      <c r="E128" s="726"/>
      <c r="F128" s="726"/>
      <c r="G128" s="726"/>
      <c r="H128" s="726"/>
      <c r="K128" s="726"/>
      <c r="L128" s="726"/>
      <c r="M128" s="726"/>
      <c r="N128" s="726"/>
      <c r="O128" s="726"/>
      <c r="P128" s="726"/>
      <c r="Q128" s="726"/>
      <c r="R128" s="726"/>
      <c r="S128" s="726"/>
      <c r="T128" s="726"/>
      <c r="U128" s="726"/>
      <c r="V128" s="726"/>
      <c r="W128" s="726"/>
      <c r="X128" s="726"/>
      <c r="Y128" s="726"/>
      <c r="Z128" s="726"/>
      <c r="AA128" s="726"/>
      <c r="AB128" s="726"/>
      <c r="AC128" s="726"/>
      <c r="AD128" s="726"/>
      <c r="AE128" s="726"/>
      <c r="AF128" s="726"/>
      <c r="AG128" s="726"/>
      <c r="AH128" s="726"/>
      <c r="AI128" s="726"/>
      <c r="AJ128" s="726"/>
      <c r="AK128" s="726"/>
      <c r="AL128" s="726"/>
      <c r="AM128" s="726"/>
      <c r="AN128" s="726"/>
      <c r="AO128" s="726"/>
      <c r="AP128" s="726"/>
      <c r="AQ128" s="726"/>
      <c r="AR128" s="726"/>
      <c r="AS128" s="726"/>
      <c r="AT128" s="726"/>
      <c r="AU128" s="726"/>
      <c r="AV128" s="726"/>
      <c r="AW128" s="726"/>
      <c r="AX128" s="726"/>
      <c r="AY128" s="726"/>
      <c r="AZ128" s="726"/>
      <c r="BA128" s="726"/>
      <c r="BB128" s="726"/>
      <c r="BC128" s="726"/>
      <c r="BD128" s="726"/>
      <c r="BE128" s="726"/>
      <c r="BF128" s="726"/>
      <c r="BG128" s="726"/>
    </row>
    <row r="129" spans="1:59" x14ac:dyDescent="0.25">
      <c r="A129" s="729" t="s">
        <v>415</v>
      </c>
      <c r="B129" s="730">
        <v>1190</v>
      </c>
      <c r="C129" s="725">
        <f t="shared" si="2"/>
        <v>74.289273085612081</v>
      </c>
      <c r="D129" s="92"/>
      <c r="E129" s="726"/>
      <c r="F129" s="726"/>
      <c r="G129" s="726"/>
      <c r="H129" s="726"/>
      <c r="K129" s="726"/>
      <c r="L129" s="726"/>
      <c r="M129" s="726"/>
      <c r="N129" s="726"/>
      <c r="O129" s="726"/>
      <c r="P129" s="726"/>
      <c r="Q129" s="726"/>
      <c r="R129" s="726"/>
      <c r="S129" s="726"/>
      <c r="T129" s="726"/>
      <c r="U129" s="726"/>
      <c r="V129" s="726"/>
      <c r="W129" s="726"/>
      <c r="X129" s="726"/>
      <c r="Y129" s="726"/>
      <c r="Z129" s="726"/>
      <c r="AA129" s="726"/>
      <c r="AB129" s="726"/>
      <c r="AC129" s="726"/>
      <c r="AD129" s="726"/>
      <c r="AE129" s="726"/>
      <c r="AF129" s="726"/>
      <c r="AG129" s="726"/>
      <c r="AH129" s="726"/>
      <c r="AI129" s="726"/>
      <c r="AJ129" s="726"/>
      <c r="AK129" s="726"/>
      <c r="AL129" s="726"/>
      <c r="AM129" s="726"/>
      <c r="AN129" s="726"/>
      <c r="AO129" s="726"/>
      <c r="AP129" s="726"/>
      <c r="AQ129" s="726"/>
      <c r="AR129" s="726"/>
      <c r="AS129" s="726"/>
      <c r="AT129" s="726"/>
      <c r="AU129" s="726"/>
      <c r="AV129" s="726"/>
      <c r="AW129" s="726"/>
      <c r="AX129" s="726"/>
      <c r="AY129" s="726"/>
      <c r="AZ129" s="726"/>
      <c r="BA129" s="726"/>
      <c r="BB129" s="726"/>
      <c r="BC129" s="726"/>
      <c r="BD129" s="726"/>
      <c r="BE129" s="726"/>
      <c r="BF129" s="726"/>
      <c r="BG129" s="726"/>
    </row>
    <row r="130" spans="1:59" x14ac:dyDescent="0.25">
      <c r="A130" s="727" t="s">
        <v>66</v>
      </c>
      <c r="B130" s="728">
        <v>800</v>
      </c>
      <c r="C130" s="725">
        <f t="shared" si="2"/>
        <v>49.942368460915681</v>
      </c>
      <c r="D130" s="92"/>
      <c r="E130" s="726"/>
      <c r="F130" s="726"/>
      <c r="G130" s="726"/>
      <c r="H130" s="726"/>
      <c r="K130" s="726"/>
      <c r="L130" s="726"/>
      <c r="M130" s="726"/>
      <c r="N130" s="726"/>
      <c r="O130" s="726"/>
      <c r="P130" s="726"/>
      <c r="Q130" s="726"/>
      <c r="R130" s="726"/>
      <c r="S130" s="726"/>
      <c r="T130" s="726"/>
      <c r="U130" s="726"/>
      <c r="V130" s="726"/>
      <c r="W130" s="726"/>
      <c r="X130" s="726"/>
      <c r="Y130" s="726"/>
      <c r="Z130" s="726"/>
      <c r="AA130" s="726"/>
      <c r="AB130" s="726"/>
      <c r="AC130" s="726"/>
      <c r="AD130" s="726"/>
      <c r="AE130" s="726"/>
      <c r="AF130" s="726"/>
      <c r="AG130" s="726"/>
      <c r="AH130" s="726"/>
      <c r="AI130" s="726"/>
      <c r="AJ130" s="726"/>
      <c r="AK130" s="726"/>
      <c r="AL130" s="726"/>
      <c r="AM130" s="726"/>
      <c r="AN130" s="726"/>
      <c r="AO130" s="726"/>
      <c r="AP130" s="726"/>
      <c r="AQ130" s="726"/>
      <c r="AR130" s="726"/>
      <c r="AS130" s="726"/>
      <c r="AT130" s="726"/>
      <c r="AU130" s="726"/>
      <c r="AV130" s="726"/>
      <c r="AW130" s="726"/>
      <c r="AX130" s="726"/>
      <c r="AY130" s="726"/>
      <c r="AZ130" s="726"/>
      <c r="BA130" s="726"/>
      <c r="BB130" s="726"/>
      <c r="BC130" s="726"/>
      <c r="BD130" s="726"/>
      <c r="BE130" s="726"/>
      <c r="BF130" s="726"/>
      <c r="BG130" s="726"/>
    </row>
    <row r="131" spans="1:59" x14ac:dyDescent="0.25">
      <c r="A131" s="729" t="s">
        <v>202</v>
      </c>
      <c r="B131" s="730">
        <v>5150</v>
      </c>
      <c r="C131" s="725">
        <f t="shared" si="2"/>
        <v>321.5039969671447</v>
      </c>
      <c r="D131" s="92"/>
      <c r="E131" s="726"/>
      <c r="F131" s="726"/>
      <c r="G131" s="726"/>
      <c r="H131" s="726"/>
      <c r="K131" s="726"/>
      <c r="L131" s="726"/>
      <c r="M131" s="726"/>
      <c r="N131" s="726"/>
      <c r="O131" s="726"/>
      <c r="P131" s="726"/>
      <c r="Q131" s="726"/>
      <c r="R131" s="726"/>
      <c r="S131" s="726"/>
      <c r="T131" s="726"/>
      <c r="U131" s="726"/>
      <c r="V131" s="726"/>
      <c r="W131" s="726"/>
      <c r="X131" s="726"/>
      <c r="Y131" s="726"/>
      <c r="Z131" s="726"/>
      <c r="AA131" s="726"/>
      <c r="AB131" s="726"/>
      <c r="AC131" s="726"/>
      <c r="AD131" s="726"/>
      <c r="AE131" s="726"/>
      <c r="AF131" s="726"/>
      <c r="AG131" s="726"/>
      <c r="AH131" s="726"/>
      <c r="AI131" s="726"/>
      <c r="AJ131" s="726"/>
      <c r="AK131" s="726"/>
      <c r="AL131" s="726"/>
      <c r="AM131" s="726"/>
      <c r="AN131" s="726"/>
      <c r="AO131" s="726"/>
      <c r="AP131" s="726"/>
      <c r="AQ131" s="726"/>
      <c r="AR131" s="726"/>
      <c r="AS131" s="726"/>
      <c r="AT131" s="726"/>
      <c r="AU131" s="726"/>
      <c r="AV131" s="726"/>
      <c r="AW131" s="726"/>
      <c r="AX131" s="726"/>
      <c r="AY131" s="726"/>
      <c r="AZ131" s="726"/>
      <c r="BA131" s="726"/>
      <c r="BB131" s="726"/>
      <c r="BC131" s="726"/>
      <c r="BD131" s="726"/>
      <c r="BE131" s="726"/>
      <c r="BF131" s="726"/>
      <c r="BG131" s="726"/>
    </row>
    <row r="132" spans="1:59" x14ac:dyDescent="0.25">
      <c r="A132" s="727" t="s">
        <v>203</v>
      </c>
      <c r="B132" s="728">
        <v>3442</v>
      </c>
      <c r="C132" s="725">
        <f t="shared" si="2"/>
        <v>214.87704030308973</v>
      </c>
      <c r="D132" s="92"/>
      <c r="E132" s="726"/>
      <c r="F132" s="726"/>
      <c r="G132" s="726"/>
      <c r="H132" s="726"/>
      <c r="I132" s="746"/>
      <c r="J132" s="747"/>
      <c r="K132" s="726"/>
      <c r="L132" s="726"/>
      <c r="M132" s="726"/>
      <c r="N132" s="726"/>
      <c r="O132" s="726"/>
      <c r="P132" s="726"/>
      <c r="Q132" s="726"/>
      <c r="R132" s="726"/>
      <c r="S132" s="726"/>
      <c r="T132" s="726"/>
      <c r="U132" s="726"/>
      <c r="V132" s="726"/>
      <c r="W132" s="726"/>
      <c r="X132" s="726"/>
      <c r="Y132" s="726"/>
      <c r="Z132" s="726"/>
      <c r="AA132" s="726"/>
      <c r="AB132" s="726"/>
      <c r="AC132" s="726"/>
      <c r="AD132" s="726"/>
      <c r="AE132" s="726"/>
      <c r="AF132" s="726"/>
      <c r="AG132" s="726"/>
      <c r="AH132" s="726"/>
      <c r="AI132" s="726"/>
      <c r="AJ132" s="726"/>
      <c r="AK132" s="726"/>
      <c r="AL132" s="726"/>
      <c r="AM132" s="726"/>
      <c r="AN132" s="726"/>
      <c r="AO132" s="726"/>
      <c r="AP132" s="726"/>
      <c r="AQ132" s="726"/>
      <c r="AR132" s="726"/>
      <c r="AS132" s="726"/>
      <c r="AT132" s="726"/>
      <c r="AU132" s="726"/>
      <c r="AV132" s="726"/>
      <c r="AW132" s="726"/>
      <c r="AX132" s="726"/>
      <c r="AY132" s="726"/>
      <c r="AZ132" s="726"/>
      <c r="BA132" s="726"/>
      <c r="BB132" s="726"/>
      <c r="BC132" s="726"/>
      <c r="BD132" s="726"/>
      <c r="BE132" s="726"/>
      <c r="BF132" s="726"/>
      <c r="BG132" s="726"/>
    </row>
    <row r="133" spans="1:59" x14ac:dyDescent="0.25">
      <c r="A133" s="727" t="s">
        <v>204</v>
      </c>
      <c r="B133" s="728">
        <v>593</v>
      </c>
      <c r="C133" s="725">
        <f t="shared" si="2"/>
        <v>37.019780621653751</v>
      </c>
      <c r="D133" s="92"/>
      <c r="E133" s="726"/>
      <c r="F133" s="726"/>
      <c r="G133" s="726"/>
      <c r="H133" s="726"/>
      <c r="I133" s="746"/>
      <c r="J133" s="747"/>
      <c r="K133" s="726"/>
      <c r="L133" s="726"/>
      <c r="M133" s="726"/>
      <c r="N133" s="726"/>
      <c r="O133" s="726"/>
      <c r="P133" s="726"/>
      <c r="Q133" s="726"/>
      <c r="R133" s="726"/>
      <c r="S133" s="726"/>
      <c r="T133" s="726"/>
      <c r="U133" s="726"/>
      <c r="V133" s="726"/>
      <c r="W133" s="726"/>
      <c r="X133" s="726"/>
      <c r="Y133" s="726"/>
      <c r="Z133" s="726"/>
      <c r="AA133" s="726"/>
      <c r="AB133" s="726"/>
      <c r="AC133" s="726"/>
      <c r="AD133" s="726"/>
      <c r="AE133" s="726"/>
      <c r="AF133" s="726"/>
      <c r="AG133" s="726"/>
      <c r="AH133" s="726"/>
      <c r="AI133" s="726"/>
      <c r="AJ133" s="726"/>
      <c r="AK133" s="726"/>
      <c r="AL133" s="726"/>
      <c r="AM133" s="726"/>
      <c r="AN133" s="726"/>
      <c r="AO133" s="726"/>
      <c r="AP133" s="726"/>
      <c r="AQ133" s="726"/>
      <c r="AR133" s="726"/>
      <c r="AS133" s="726"/>
      <c r="AT133" s="726"/>
      <c r="AU133" s="726"/>
      <c r="AV133" s="726"/>
      <c r="AW133" s="726"/>
      <c r="AX133" s="726"/>
      <c r="AY133" s="726"/>
      <c r="AZ133" s="726"/>
      <c r="BA133" s="726"/>
      <c r="BB133" s="726"/>
      <c r="BC133" s="726"/>
      <c r="BD133" s="726"/>
      <c r="BE133" s="726"/>
      <c r="BF133" s="726"/>
      <c r="BG133" s="726"/>
    </row>
    <row r="134" spans="1:59" x14ac:dyDescent="0.25">
      <c r="A134" s="729" t="s">
        <v>205</v>
      </c>
      <c r="B134" s="730">
        <v>919</v>
      </c>
      <c r="C134" s="725">
        <f t="shared" si="2"/>
        <v>57.371295769476895</v>
      </c>
      <c r="D134" s="92"/>
      <c r="E134" s="726"/>
      <c r="F134" s="726"/>
      <c r="G134" s="726"/>
      <c r="H134" s="726"/>
      <c r="K134" s="726"/>
      <c r="L134" s="726"/>
      <c r="M134" s="726"/>
      <c r="N134" s="726"/>
      <c r="O134" s="726"/>
      <c r="P134" s="726"/>
      <c r="Q134" s="726"/>
      <c r="R134" s="726"/>
      <c r="S134" s="726"/>
      <c r="T134" s="726"/>
      <c r="U134" s="726"/>
      <c r="V134" s="726"/>
      <c r="W134" s="726"/>
      <c r="X134" s="726"/>
      <c r="Y134" s="726"/>
      <c r="Z134" s="726"/>
      <c r="AA134" s="726"/>
      <c r="AB134" s="726"/>
      <c r="AC134" s="726"/>
      <c r="AD134" s="726"/>
      <c r="AE134" s="726"/>
      <c r="AF134" s="726"/>
      <c r="AG134" s="726"/>
      <c r="AH134" s="726"/>
      <c r="AI134" s="726"/>
      <c r="AJ134" s="726"/>
      <c r="AK134" s="726"/>
      <c r="AL134" s="726"/>
      <c r="AM134" s="726"/>
      <c r="AN134" s="726"/>
      <c r="AO134" s="726"/>
      <c r="AP134" s="726"/>
      <c r="AQ134" s="726"/>
      <c r="AR134" s="726"/>
      <c r="AS134" s="726"/>
      <c r="AT134" s="726"/>
      <c r="AU134" s="726"/>
      <c r="AV134" s="726"/>
      <c r="AW134" s="726"/>
      <c r="AX134" s="726"/>
      <c r="AY134" s="726"/>
      <c r="AZ134" s="726"/>
      <c r="BA134" s="726"/>
      <c r="BB134" s="726"/>
      <c r="BC134" s="726"/>
      <c r="BD134" s="726"/>
      <c r="BE134" s="726"/>
      <c r="BF134" s="726"/>
      <c r="BG134" s="726"/>
    </row>
    <row r="135" spans="1:59" x14ac:dyDescent="0.25">
      <c r="A135" s="28" t="s">
        <v>206</v>
      </c>
      <c r="B135" s="728">
        <v>2307</v>
      </c>
      <c r="C135" s="725">
        <f t="shared" si="2"/>
        <v>144.02130504916559</v>
      </c>
      <c r="D135" s="92"/>
      <c r="E135" s="726"/>
      <c r="F135" s="726"/>
      <c r="G135" s="726"/>
      <c r="H135" s="726"/>
      <c r="I135" s="746"/>
      <c r="J135" s="747"/>
      <c r="K135" s="726"/>
      <c r="L135" s="726"/>
      <c r="M135" s="726"/>
      <c r="N135" s="726"/>
      <c r="O135" s="726"/>
      <c r="P135" s="726"/>
      <c r="Q135" s="726"/>
      <c r="R135" s="726"/>
      <c r="S135" s="726"/>
      <c r="T135" s="726"/>
      <c r="U135" s="726"/>
      <c r="V135" s="726"/>
      <c r="W135" s="726"/>
      <c r="X135" s="726"/>
      <c r="Y135" s="726"/>
      <c r="Z135" s="726"/>
      <c r="AA135" s="726"/>
      <c r="AB135" s="726"/>
      <c r="AC135" s="726"/>
      <c r="AD135" s="726"/>
      <c r="AE135" s="726"/>
      <c r="AF135" s="726"/>
      <c r="AG135" s="726"/>
      <c r="AH135" s="726"/>
      <c r="AI135" s="726"/>
      <c r="AJ135" s="726"/>
      <c r="AK135" s="726"/>
      <c r="AL135" s="726"/>
      <c r="AM135" s="726"/>
      <c r="AN135" s="726"/>
      <c r="AO135" s="726"/>
      <c r="AP135" s="726"/>
      <c r="AQ135" s="726"/>
      <c r="AR135" s="726"/>
      <c r="AS135" s="726"/>
      <c r="AT135" s="726"/>
      <c r="AU135" s="726"/>
      <c r="AV135" s="726"/>
      <c r="AW135" s="726"/>
      <c r="AX135" s="726"/>
      <c r="AY135" s="726"/>
      <c r="AZ135" s="726"/>
      <c r="BA135" s="726"/>
      <c r="BB135" s="726"/>
      <c r="BC135" s="726"/>
      <c r="BD135" s="726"/>
      <c r="BE135" s="726"/>
      <c r="BF135" s="726"/>
      <c r="BG135" s="726"/>
    </row>
    <row r="136" spans="1:59" x14ac:dyDescent="0.25">
      <c r="A136" s="729" t="s">
        <v>207</v>
      </c>
      <c r="B136" s="730">
        <v>22154</v>
      </c>
      <c r="C136" s="725">
        <f t="shared" si="2"/>
        <v>1383.0290386039076</v>
      </c>
      <c r="D136" s="92"/>
      <c r="E136" s="726"/>
      <c r="F136" s="726"/>
      <c r="G136" s="726"/>
      <c r="H136" s="726"/>
      <c r="I136" s="746"/>
      <c r="J136" s="747"/>
      <c r="K136" s="726"/>
      <c r="L136" s="726"/>
      <c r="M136" s="726"/>
      <c r="N136" s="726"/>
      <c r="O136" s="726"/>
      <c r="P136" s="726"/>
      <c r="Q136" s="726"/>
      <c r="R136" s="726"/>
      <c r="S136" s="726"/>
      <c r="T136" s="726"/>
      <c r="U136" s="726"/>
      <c r="V136" s="726"/>
      <c r="W136" s="726"/>
      <c r="X136" s="726"/>
      <c r="Y136" s="726"/>
      <c r="Z136" s="726"/>
      <c r="AA136" s="726"/>
      <c r="AB136" s="726"/>
      <c r="AC136" s="726"/>
      <c r="AD136" s="726"/>
      <c r="AE136" s="726"/>
      <c r="AF136" s="726"/>
      <c r="AG136" s="726"/>
      <c r="AH136" s="726"/>
      <c r="AI136" s="726"/>
      <c r="AJ136" s="726"/>
      <c r="AK136" s="726"/>
      <c r="AL136" s="726"/>
      <c r="AM136" s="726"/>
      <c r="AN136" s="726"/>
      <c r="AO136" s="726"/>
      <c r="AP136" s="726"/>
      <c r="AQ136" s="726"/>
      <c r="AR136" s="726"/>
      <c r="AS136" s="726"/>
      <c r="AT136" s="726"/>
      <c r="AU136" s="726"/>
      <c r="AV136" s="726"/>
      <c r="AW136" s="726"/>
      <c r="AX136" s="726"/>
      <c r="AY136" s="726"/>
      <c r="AZ136" s="726"/>
      <c r="BA136" s="726"/>
      <c r="BB136" s="726"/>
      <c r="BC136" s="726"/>
      <c r="BD136" s="726"/>
      <c r="BE136" s="726"/>
      <c r="BF136" s="726"/>
      <c r="BG136" s="726"/>
    </row>
    <row r="137" spans="1:59" x14ac:dyDescent="0.25">
      <c r="A137" s="727" t="s">
        <v>208</v>
      </c>
      <c r="B137" s="728">
        <v>2500</v>
      </c>
      <c r="C137" s="725">
        <f t="shared" si="2"/>
        <v>156.06990144036152</v>
      </c>
      <c r="D137" s="747" t="s">
        <v>1474</v>
      </c>
      <c r="E137" s="726"/>
      <c r="F137" s="726"/>
      <c r="G137" s="726"/>
      <c r="H137" s="726"/>
      <c r="K137" s="726"/>
      <c r="L137" s="726"/>
      <c r="M137" s="726"/>
      <c r="N137" s="726"/>
      <c r="O137" s="726"/>
      <c r="P137" s="726"/>
      <c r="Q137" s="726"/>
      <c r="R137" s="726"/>
      <c r="S137" s="726"/>
      <c r="T137" s="726"/>
      <c r="U137" s="726"/>
      <c r="V137" s="726"/>
      <c r="W137" s="726"/>
      <c r="X137" s="726"/>
      <c r="Y137" s="726"/>
      <c r="Z137" s="726"/>
      <c r="AA137" s="726"/>
      <c r="AB137" s="726"/>
      <c r="AC137" s="726"/>
      <c r="AD137" s="726"/>
      <c r="AE137" s="726"/>
      <c r="AF137" s="726"/>
      <c r="AG137" s="726"/>
      <c r="AH137" s="726"/>
      <c r="AI137" s="726"/>
      <c r="AJ137" s="726"/>
      <c r="AK137" s="726"/>
      <c r="AL137" s="726"/>
      <c r="AM137" s="726"/>
      <c r="AN137" s="726"/>
      <c r="AO137" s="726"/>
      <c r="AP137" s="726"/>
      <c r="AQ137" s="726"/>
      <c r="AR137" s="726"/>
      <c r="AS137" s="726"/>
      <c r="AT137" s="726"/>
      <c r="AU137" s="726"/>
      <c r="AV137" s="726"/>
      <c r="AW137" s="726"/>
      <c r="AX137" s="726"/>
      <c r="AY137" s="726"/>
      <c r="AZ137" s="726"/>
      <c r="BA137" s="726"/>
      <c r="BB137" s="726"/>
      <c r="BC137" s="726"/>
      <c r="BD137" s="726"/>
      <c r="BE137" s="726"/>
      <c r="BF137" s="726"/>
      <c r="BG137" s="726"/>
    </row>
    <row r="138" spans="1:59" x14ac:dyDescent="0.25">
      <c r="A138" s="729" t="s">
        <v>209</v>
      </c>
      <c r="B138" s="730">
        <v>400</v>
      </c>
      <c r="C138" s="725">
        <f t="shared" si="2"/>
        <v>24.97118423045784</v>
      </c>
      <c r="D138" s="92"/>
      <c r="E138" s="726"/>
      <c r="F138" s="726"/>
      <c r="G138" s="726"/>
      <c r="H138" s="726"/>
      <c r="K138" s="726"/>
      <c r="L138" s="726"/>
      <c r="M138" s="726"/>
      <c r="N138" s="726"/>
      <c r="O138" s="726"/>
      <c r="P138" s="726"/>
      <c r="Q138" s="726"/>
      <c r="R138" s="726"/>
      <c r="S138" s="726"/>
      <c r="T138" s="726"/>
      <c r="U138" s="726"/>
      <c r="V138" s="726"/>
      <c r="W138" s="726"/>
      <c r="X138" s="726"/>
      <c r="Y138" s="726"/>
      <c r="Z138" s="726"/>
      <c r="AA138" s="726"/>
      <c r="AB138" s="726"/>
      <c r="AC138" s="726"/>
      <c r="AD138" s="726"/>
      <c r="AE138" s="726"/>
      <c r="AF138" s="726"/>
      <c r="AG138" s="726"/>
      <c r="AH138" s="726"/>
      <c r="AI138" s="726"/>
      <c r="AJ138" s="726"/>
      <c r="AK138" s="726"/>
      <c r="AL138" s="726"/>
      <c r="AM138" s="726"/>
      <c r="AN138" s="726"/>
      <c r="AO138" s="726"/>
      <c r="AP138" s="726"/>
      <c r="AQ138" s="726"/>
      <c r="AR138" s="726"/>
      <c r="AS138" s="726"/>
      <c r="AT138" s="726"/>
      <c r="AU138" s="726"/>
      <c r="AV138" s="726"/>
      <c r="AW138" s="726"/>
      <c r="AX138" s="726"/>
      <c r="AY138" s="726"/>
      <c r="AZ138" s="726"/>
      <c r="BA138" s="726"/>
      <c r="BB138" s="726"/>
      <c r="BC138" s="726"/>
      <c r="BD138" s="726"/>
      <c r="BE138" s="726"/>
      <c r="BF138" s="726"/>
      <c r="BG138" s="726"/>
    </row>
    <row r="139" spans="1:59" x14ac:dyDescent="0.25">
      <c r="A139" s="727" t="s">
        <v>210</v>
      </c>
      <c r="B139" s="728">
        <v>2400</v>
      </c>
      <c r="C139" s="725">
        <f t="shared" si="2"/>
        <v>149.82710538274705</v>
      </c>
      <c r="D139" s="92"/>
      <c r="E139" s="726"/>
      <c r="F139" s="726"/>
      <c r="G139" s="726"/>
      <c r="H139" s="726"/>
      <c r="I139" s="746"/>
      <c r="J139" s="747"/>
      <c r="K139" s="726"/>
      <c r="L139" s="726"/>
      <c r="M139" s="726"/>
      <c r="N139" s="726"/>
      <c r="O139" s="726"/>
      <c r="P139" s="726"/>
      <c r="Q139" s="726"/>
      <c r="R139" s="726"/>
      <c r="S139" s="726"/>
      <c r="T139" s="726"/>
      <c r="U139" s="726"/>
      <c r="V139" s="726"/>
      <c r="W139" s="726"/>
      <c r="X139" s="726"/>
      <c r="Y139" s="726"/>
      <c r="Z139" s="726"/>
      <c r="AA139" s="726"/>
      <c r="AB139" s="726"/>
      <c r="AC139" s="726"/>
      <c r="AD139" s="726"/>
      <c r="AE139" s="726"/>
      <c r="AF139" s="726"/>
      <c r="AG139" s="726"/>
      <c r="AH139" s="726"/>
      <c r="AI139" s="726"/>
      <c r="AJ139" s="726"/>
      <c r="AK139" s="726"/>
      <c r="AL139" s="726"/>
      <c r="AM139" s="726"/>
      <c r="AN139" s="726"/>
      <c r="AO139" s="726"/>
      <c r="AP139" s="726"/>
      <c r="AQ139" s="726"/>
      <c r="AR139" s="726"/>
      <c r="AS139" s="726"/>
      <c r="AT139" s="726"/>
      <c r="AU139" s="726"/>
      <c r="AV139" s="726"/>
      <c r="AW139" s="726"/>
      <c r="AX139" s="726"/>
      <c r="AY139" s="726"/>
      <c r="AZ139" s="726"/>
      <c r="BA139" s="726"/>
      <c r="BB139" s="726"/>
      <c r="BC139" s="726"/>
      <c r="BD139" s="726"/>
      <c r="BE139" s="726"/>
      <c r="BF139" s="726"/>
      <c r="BG139" s="726"/>
    </row>
    <row r="140" spans="1:59" x14ac:dyDescent="0.25">
      <c r="A140" s="729" t="s">
        <v>211</v>
      </c>
      <c r="B140" s="730">
        <v>1842</v>
      </c>
      <c r="C140" s="725">
        <f t="shared" si="2"/>
        <v>114.99230338125837</v>
      </c>
      <c r="D140" s="92"/>
      <c r="E140" s="726"/>
      <c r="F140" s="726"/>
      <c r="G140" s="726"/>
      <c r="H140" s="726"/>
      <c r="K140" s="726"/>
      <c r="L140" s="726"/>
      <c r="M140" s="726"/>
      <c r="N140" s="726"/>
      <c r="O140" s="726"/>
      <c r="P140" s="726"/>
      <c r="Q140" s="726"/>
      <c r="R140" s="726"/>
      <c r="S140" s="726"/>
      <c r="T140" s="726"/>
      <c r="U140" s="726"/>
      <c r="V140" s="726"/>
      <c r="W140" s="726"/>
      <c r="X140" s="726"/>
      <c r="Y140" s="726"/>
      <c r="Z140" s="726"/>
      <c r="AA140" s="726"/>
      <c r="AB140" s="726"/>
      <c r="AC140" s="726"/>
      <c r="AD140" s="726"/>
      <c r="AE140" s="726"/>
      <c r="AF140" s="726"/>
      <c r="AG140" s="726"/>
      <c r="AH140" s="726"/>
      <c r="AI140" s="726"/>
      <c r="AJ140" s="726"/>
      <c r="AK140" s="726"/>
      <c r="AL140" s="726"/>
      <c r="AM140" s="726"/>
      <c r="AN140" s="726"/>
      <c r="AO140" s="726"/>
      <c r="AP140" s="726"/>
      <c r="AQ140" s="726"/>
      <c r="AR140" s="726"/>
      <c r="AS140" s="726"/>
      <c r="AT140" s="726"/>
      <c r="AU140" s="726"/>
      <c r="AV140" s="726"/>
      <c r="AW140" s="726"/>
      <c r="AX140" s="726"/>
      <c r="AY140" s="726"/>
      <c r="AZ140" s="726"/>
      <c r="BA140" s="726"/>
      <c r="BB140" s="726"/>
      <c r="BC140" s="726"/>
      <c r="BD140" s="726"/>
      <c r="BE140" s="726"/>
      <c r="BF140" s="726"/>
      <c r="BG140" s="726"/>
    </row>
    <row r="141" spans="1:59" x14ac:dyDescent="0.25">
      <c r="A141" s="729" t="s">
        <v>212</v>
      </c>
      <c r="B141" s="730">
        <v>1025</v>
      </c>
      <c r="C141" s="725">
        <f t="shared" si="2"/>
        <v>63.988659590548217</v>
      </c>
      <c r="D141" s="92"/>
      <c r="E141" s="726"/>
      <c r="F141" s="726"/>
      <c r="G141" s="726"/>
      <c r="H141" s="726"/>
      <c r="K141" s="726"/>
      <c r="L141" s="726"/>
      <c r="M141" s="726"/>
      <c r="N141" s="726"/>
      <c r="O141" s="726"/>
      <c r="P141" s="726"/>
      <c r="Q141" s="726"/>
      <c r="R141" s="726"/>
      <c r="S141" s="726"/>
      <c r="T141" s="726"/>
      <c r="U141" s="726"/>
      <c r="V141" s="726"/>
      <c r="W141" s="726"/>
      <c r="X141" s="726"/>
      <c r="Y141" s="726"/>
      <c r="Z141" s="726"/>
      <c r="AA141" s="726"/>
      <c r="AB141" s="726"/>
      <c r="AC141" s="726"/>
      <c r="AD141" s="726"/>
      <c r="AE141" s="726"/>
      <c r="AF141" s="726"/>
      <c r="AG141" s="726"/>
      <c r="AH141" s="726"/>
      <c r="AI141" s="726"/>
      <c r="AJ141" s="726"/>
      <c r="AK141" s="726"/>
      <c r="AL141" s="726"/>
      <c r="AM141" s="726"/>
      <c r="AN141" s="726"/>
      <c r="AO141" s="726"/>
      <c r="AP141" s="726"/>
      <c r="AQ141" s="726"/>
      <c r="AR141" s="726"/>
      <c r="AS141" s="726"/>
      <c r="AT141" s="726"/>
      <c r="AU141" s="726"/>
      <c r="AV141" s="726"/>
      <c r="AW141" s="726"/>
      <c r="AX141" s="726"/>
      <c r="AY141" s="726"/>
      <c r="AZ141" s="726"/>
      <c r="BA141" s="726"/>
      <c r="BB141" s="726"/>
      <c r="BC141" s="726"/>
      <c r="BD141" s="726"/>
      <c r="BE141" s="726"/>
      <c r="BF141" s="726"/>
      <c r="BG141" s="726"/>
    </row>
    <row r="142" spans="1:59" x14ac:dyDescent="0.25">
      <c r="A142" s="28" t="s">
        <v>213</v>
      </c>
      <c r="B142" s="728">
        <v>352</v>
      </c>
      <c r="C142" s="725">
        <f t="shared" si="2"/>
        <v>21.974642122802901</v>
      </c>
      <c r="D142" s="92"/>
      <c r="E142" s="726"/>
      <c r="F142" s="726"/>
      <c r="G142" s="726"/>
      <c r="H142" s="726"/>
      <c r="I142" s="746"/>
      <c r="J142" s="747"/>
      <c r="K142" s="726"/>
      <c r="L142" s="726"/>
      <c r="M142" s="726"/>
      <c r="N142" s="726"/>
      <c r="O142" s="726"/>
      <c r="P142" s="726"/>
      <c r="Q142" s="726"/>
      <c r="R142" s="726"/>
      <c r="S142" s="726"/>
      <c r="T142" s="726"/>
      <c r="U142" s="726"/>
      <c r="V142" s="726"/>
      <c r="W142" s="726"/>
      <c r="X142" s="726"/>
      <c r="Y142" s="726"/>
      <c r="Z142" s="726"/>
      <c r="AA142" s="726"/>
      <c r="AB142" s="726"/>
      <c r="AC142" s="726"/>
      <c r="AD142" s="726"/>
      <c r="AE142" s="726"/>
      <c r="AF142" s="726"/>
      <c r="AG142" s="726"/>
      <c r="AH142" s="726"/>
      <c r="AI142" s="726"/>
      <c r="AJ142" s="726"/>
      <c r="AK142" s="726"/>
      <c r="AL142" s="726"/>
      <c r="AM142" s="726"/>
      <c r="AN142" s="726"/>
      <c r="AO142" s="726"/>
      <c r="AP142" s="726"/>
      <c r="AQ142" s="726"/>
      <c r="AR142" s="726"/>
      <c r="AS142" s="726"/>
      <c r="AT142" s="726"/>
      <c r="AU142" s="726"/>
      <c r="AV142" s="726"/>
      <c r="AW142" s="726"/>
      <c r="AX142" s="726"/>
      <c r="AY142" s="726"/>
      <c r="AZ142" s="726"/>
      <c r="BA142" s="726"/>
      <c r="BB142" s="726"/>
      <c r="BC142" s="726"/>
      <c r="BD142" s="726"/>
      <c r="BE142" s="726"/>
      <c r="BF142" s="726"/>
      <c r="BG142" s="726"/>
    </row>
    <row r="143" spans="1:59" x14ac:dyDescent="0.25">
      <c r="A143" s="727" t="s">
        <v>214</v>
      </c>
      <c r="B143" s="728">
        <v>3684</v>
      </c>
      <c r="C143" s="725">
        <f t="shared" si="2"/>
        <v>229.98460676251673</v>
      </c>
      <c r="D143" s="92"/>
      <c r="E143" s="726"/>
      <c r="F143" s="726"/>
      <c r="G143" s="726"/>
      <c r="H143" s="726"/>
      <c r="I143" s="746"/>
      <c r="J143" s="747"/>
      <c r="K143" s="726"/>
      <c r="L143" s="726"/>
      <c r="M143" s="726"/>
      <c r="N143" s="726"/>
      <c r="O143" s="726"/>
      <c r="P143" s="726"/>
      <c r="Q143" s="726"/>
      <c r="R143" s="726"/>
      <c r="S143" s="726"/>
      <c r="T143" s="726"/>
      <c r="U143" s="726"/>
      <c r="V143" s="726"/>
      <c r="W143" s="726"/>
      <c r="X143" s="726"/>
      <c r="Y143" s="726"/>
      <c r="Z143" s="726"/>
      <c r="AA143" s="726"/>
      <c r="AB143" s="726"/>
      <c r="AC143" s="726"/>
      <c r="AD143" s="726"/>
      <c r="AE143" s="726"/>
      <c r="AF143" s="726"/>
      <c r="AG143" s="726"/>
      <c r="AH143" s="726"/>
      <c r="AI143" s="726"/>
      <c r="AJ143" s="726"/>
      <c r="AK143" s="726"/>
      <c r="AL143" s="726"/>
      <c r="AM143" s="726"/>
      <c r="AN143" s="726"/>
      <c r="AO143" s="726"/>
      <c r="AP143" s="726"/>
      <c r="AQ143" s="726"/>
      <c r="AR143" s="726"/>
      <c r="AS143" s="726"/>
      <c r="AT143" s="726"/>
      <c r="AU143" s="726"/>
      <c r="AV143" s="726"/>
      <c r="AW143" s="726"/>
      <c r="AX143" s="726"/>
      <c r="AY143" s="726"/>
      <c r="AZ143" s="726"/>
      <c r="BA143" s="726"/>
      <c r="BB143" s="726"/>
      <c r="BC143" s="726"/>
      <c r="BD143" s="726"/>
      <c r="BE143" s="726"/>
      <c r="BF143" s="726"/>
      <c r="BG143" s="726"/>
    </row>
    <row r="144" spans="1:59" x14ac:dyDescent="0.25">
      <c r="A144" s="729" t="s">
        <v>395</v>
      </c>
      <c r="B144" s="730">
        <v>11389</v>
      </c>
      <c r="C144" s="725">
        <f t="shared" si="2"/>
        <v>710.99204300171095</v>
      </c>
      <c r="D144" s="92"/>
      <c r="E144" s="726"/>
      <c r="F144" s="726"/>
      <c r="G144" s="726"/>
      <c r="H144" s="726"/>
      <c r="I144" s="746"/>
      <c r="J144" s="747"/>
      <c r="K144" s="726"/>
      <c r="L144" s="726"/>
      <c r="M144" s="726"/>
      <c r="N144" s="726"/>
      <c r="O144" s="726"/>
      <c r="P144" s="726"/>
      <c r="Q144" s="726"/>
      <c r="R144" s="726"/>
      <c r="S144" s="726"/>
      <c r="T144" s="726"/>
      <c r="U144" s="726"/>
      <c r="V144" s="726"/>
      <c r="W144" s="726"/>
      <c r="X144" s="726"/>
      <c r="Y144" s="726"/>
      <c r="Z144" s="726"/>
      <c r="AA144" s="726"/>
      <c r="AB144" s="726"/>
      <c r="AC144" s="726"/>
      <c r="AD144" s="726"/>
      <c r="AE144" s="726"/>
      <c r="AF144" s="726"/>
      <c r="AG144" s="726"/>
      <c r="AH144" s="726"/>
      <c r="AI144" s="726"/>
      <c r="AJ144" s="726"/>
      <c r="AK144" s="726"/>
      <c r="AL144" s="726"/>
      <c r="AM144" s="726"/>
      <c r="AN144" s="726"/>
      <c r="AO144" s="726"/>
      <c r="AP144" s="726"/>
      <c r="AQ144" s="726"/>
      <c r="AR144" s="726"/>
      <c r="AS144" s="726"/>
      <c r="AT144" s="726"/>
      <c r="AU144" s="726"/>
      <c r="AV144" s="726"/>
      <c r="AW144" s="726"/>
      <c r="AX144" s="726"/>
      <c r="AY144" s="726"/>
      <c r="AZ144" s="726"/>
      <c r="BA144" s="726"/>
      <c r="BB144" s="726"/>
      <c r="BC144" s="726"/>
      <c r="BD144" s="726"/>
      <c r="BE144" s="726"/>
      <c r="BF144" s="726"/>
      <c r="BG144" s="726"/>
    </row>
    <row r="145" spans="1:59" x14ac:dyDescent="0.25">
      <c r="A145" s="727" t="s">
        <v>215</v>
      </c>
      <c r="B145" s="728">
        <v>4085</v>
      </c>
      <c r="C145" s="725">
        <f t="shared" si="2"/>
        <v>255.0182189535507</v>
      </c>
      <c r="D145" s="92"/>
      <c r="E145" s="726"/>
      <c r="F145" s="726"/>
      <c r="G145" s="726"/>
      <c r="H145" s="726"/>
      <c r="K145" s="726"/>
      <c r="L145" s="726"/>
      <c r="M145" s="726"/>
      <c r="N145" s="726"/>
      <c r="O145" s="726"/>
      <c r="P145" s="726"/>
      <c r="Q145" s="726"/>
      <c r="R145" s="726"/>
      <c r="S145" s="726"/>
      <c r="T145" s="726"/>
      <c r="U145" s="726"/>
      <c r="V145" s="726"/>
      <c r="W145" s="726"/>
      <c r="X145" s="726"/>
      <c r="Y145" s="726"/>
      <c r="Z145" s="726"/>
      <c r="AA145" s="726"/>
      <c r="AB145" s="726"/>
      <c r="AC145" s="726"/>
      <c r="AD145" s="726"/>
      <c r="AE145" s="726"/>
      <c r="AF145" s="726"/>
      <c r="AG145" s="726"/>
      <c r="AH145" s="726"/>
      <c r="AI145" s="726"/>
      <c r="AJ145" s="726"/>
      <c r="AK145" s="726"/>
      <c r="AL145" s="726"/>
      <c r="AM145" s="726"/>
      <c r="AN145" s="726"/>
      <c r="AO145" s="726"/>
      <c r="AP145" s="726"/>
      <c r="AQ145" s="726"/>
      <c r="AR145" s="726"/>
      <c r="AS145" s="726"/>
      <c r="AT145" s="726"/>
      <c r="AU145" s="726"/>
      <c r="AV145" s="726"/>
      <c r="AW145" s="726"/>
      <c r="AX145" s="726"/>
      <c r="AY145" s="726"/>
      <c r="AZ145" s="726"/>
      <c r="BA145" s="726"/>
      <c r="BB145" s="726"/>
      <c r="BC145" s="726"/>
      <c r="BD145" s="726"/>
      <c r="BE145" s="726"/>
      <c r="BF145" s="726"/>
      <c r="BG145" s="726"/>
    </row>
    <row r="146" spans="1:59" x14ac:dyDescent="0.25">
      <c r="A146" s="729" t="s">
        <v>216</v>
      </c>
      <c r="B146" s="730">
        <v>945</v>
      </c>
      <c r="C146" s="725">
        <f t="shared" si="2"/>
        <v>58.994422744456649</v>
      </c>
      <c r="D146" s="92"/>
      <c r="E146" s="726"/>
      <c r="F146" s="726"/>
      <c r="G146" s="726"/>
      <c r="H146" s="726"/>
      <c r="K146" s="726"/>
      <c r="L146" s="726"/>
      <c r="M146" s="726"/>
      <c r="N146" s="726"/>
      <c r="O146" s="726"/>
      <c r="P146" s="726"/>
      <c r="Q146" s="726"/>
      <c r="R146" s="726"/>
      <c r="S146" s="726"/>
      <c r="T146" s="726"/>
      <c r="U146" s="726"/>
      <c r="V146" s="726"/>
      <c r="W146" s="726"/>
      <c r="X146" s="726"/>
      <c r="Y146" s="726"/>
      <c r="Z146" s="726"/>
      <c r="AA146" s="726"/>
      <c r="AB146" s="726"/>
      <c r="AC146" s="726"/>
      <c r="AD146" s="726"/>
      <c r="AE146" s="726"/>
      <c r="AF146" s="726"/>
      <c r="AG146" s="726"/>
      <c r="AH146" s="726"/>
      <c r="AI146" s="726"/>
      <c r="AJ146" s="726"/>
      <c r="AK146" s="726"/>
      <c r="AL146" s="726"/>
      <c r="AM146" s="726"/>
      <c r="AN146" s="726"/>
      <c r="AO146" s="726"/>
      <c r="AP146" s="726"/>
      <c r="AQ146" s="726"/>
      <c r="AR146" s="726"/>
      <c r="AS146" s="726"/>
      <c r="AT146" s="726"/>
      <c r="AU146" s="726"/>
      <c r="AV146" s="726"/>
      <c r="AW146" s="726"/>
      <c r="AX146" s="726"/>
      <c r="AY146" s="726"/>
      <c r="AZ146" s="726"/>
      <c r="BA146" s="726"/>
      <c r="BB146" s="726"/>
      <c r="BC146" s="726"/>
      <c r="BD146" s="726"/>
      <c r="BE146" s="726"/>
      <c r="BF146" s="726"/>
      <c r="BG146" s="726"/>
    </row>
    <row r="147" spans="1:59" x14ac:dyDescent="0.25">
      <c r="A147" s="727" t="s">
        <v>217</v>
      </c>
      <c r="B147" s="728">
        <v>801</v>
      </c>
      <c r="C147" s="725">
        <f t="shared" ref="C147:C209" si="3">(B147*(2.20462262184877))/35.3146667214885</f>
        <v>50.004796421491825</v>
      </c>
      <c r="D147" s="92"/>
      <c r="E147" s="726"/>
      <c r="F147" s="726"/>
      <c r="G147" s="726"/>
      <c r="H147" s="726"/>
      <c r="I147" s="746"/>
      <c r="J147" s="747"/>
      <c r="K147" s="726"/>
      <c r="L147" s="726"/>
      <c r="M147" s="726"/>
      <c r="N147" s="726"/>
      <c r="O147" s="726"/>
      <c r="P147" s="726"/>
      <c r="Q147" s="726"/>
      <c r="R147" s="726"/>
      <c r="S147" s="726"/>
      <c r="T147" s="726"/>
      <c r="U147" s="726"/>
      <c r="V147" s="726"/>
      <c r="W147" s="726"/>
      <c r="X147" s="726"/>
      <c r="Y147" s="726"/>
      <c r="Z147" s="726"/>
      <c r="AA147" s="726"/>
      <c r="AB147" s="726"/>
      <c r="AC147" s="726"/>
      <c r="AD147" s="726"/>
      <c r="AE147" s="726"/>
      <c r="AF147" s="726"/>
      <c r="AG147" s="726"/>
      <c r="AH147" s="726"/>
      <c r="AI147" s="726"/>
      <c r="AJ147" s="726"/>
      <c r="AK147" s="726"/>
      <c r="AL147" s="726"/>
      <c r="AM147" s="726"/>
      <c r="AN147" s="726"/>
      <c r="AO147" s="726"/>
      <c r="AP147" s="726"/>
      <c r="AQ147" s="726"/>
      <c r="AR147" s="726"/>
      <c r="AS147" s="726"/>
      <c r="AT147" s="726"/>
      <c r="AU147" s="726"/>
      <c r="AV147" s="726"/>
      <c r="AW147" s="726"/>
      <c r="AX147" s="726"/>
      <c r="AY147" s="726"/>
      <c r="AZ147" s="726"/>
      <c r="BA147" s="726"/>
      <c r="BB147" s="726"/>
      <c r="BC147" s="726"/>
      <c r="BD147" s="726"/>
      <c r="BE147" s="726"/>
      <c r="BF147" s="726"/>
      <c r="BG147" s="726"/>
    </row>
    <row r="148" spans="1:59" x14ac:dyDescent="0.25">
      <c r="A148" s="729" t="s">
        <v>218</v>
      </c>
      <c r="B148" s="730">
        <v>481</v>
      </c>
      <c r="C148" s="725">
        <f t="shared" si="3"/>
        <v>30.027849037125556</v>
      </c>
      <c r="D148" s="92"/>
      <c r="E148" s="726"/>
      <c r="F148" s="726"/>
      <c r="G148" s="726"/>
      <c r="H148" s="726"/>
      <c r="I148" s="746"/>
      <c r="J148" s="747"/>
      <c r="K148" s="726"/>
      <c r="L148" s="726"/>
      <c r="M148" s="726"/>
      <c r="N148" s="726"/>
      <c r="O148" s="726"/>
      <c r="P148" s="726"/>
      <c r="Q148" s="726"/>
      <c r="R148" s="726"/>
      <c r="S148" s="726"/>
      <c r="T148" s="726"/>
      <c r="U148" s="726"/>
      <c r="V148" s="726"/>
      <c r="W148" s="726"/>
      <c r="X148" s="726"/>
      <c r="Y148" s="726"/>
      <c r="Z148" s="726"/>
      <c r="AA148" s="726"/>
      <c r="AB148" s="726"/>
      <c r="AC148" s="726"/>
      <c r="AD148" s="726"/>
      <c r="AE148" s="726"/>
      <c r="AF148" s="726"/>
      <c r="AG148" s="726"/>
      <c r="AH148" s="726"/>
      <c r="AI148" s="726"/>
      <c r="AJ148" s="726"/>
      <c r="AK148" s="726"/>
      <c r="AL148" s="726"/>
      <c r="AM148" s="726"/>
      <c r="AN148" s="726"/>
      <c r="AO148" s="726"/>
      <c r="AP148" s="726"/>
      <c r="AQ148" s="726"/>
      <c r="AR148" s="726"/>
      <c r="AS148" s="726"/>
      <c r="AT148" s="726"/>
      <c r="AU148" s="726"/>
      <c r="AV148" s="726"/>
      <c r="AW148" s="726"/>
      <c r="AX148" s="726"/>
      <c r="AY148" s="726"/>
      <c r="AZ148" s="726"/>
      <c r="BA148" s="726"/>
      <c r="BB148" s="726"/>
      <c r="BC148" s="726"/>
      <c r="BD148" s="726"/>
      <c r="BE148" s="726"/>
      <c r="BF148" s="726"/>
      <c r="BG148" s="726"/>
    </row>
    <row r="149" spans="1:59" x14ac:dyDescent="0.25">
      <c r="A149" s="729" t="s">
        <v>219</v>
      </c>
      <c r="B149" s="730">
        <v>1201</v>
      </c>
      <c r="C149" s="725">
        <f t="shared" si="3"/>
        <v>74.975980651949669</v>
      </c>
      <c r="D149" s="92"/>
      <c r="E149" s="726"/>
      <c r="F149" s="726"/>
      <c r="G149" s="726"/>
      <c r="H149" s="726"/>
      <c r="K149" s="726"/>
      <c r="L149" s="726"/>
      <c r="M149" s="726"/>
      <c r="N149" s="726"/>
      <c r="O149" s="726"/>
      <c r="P149" s="726"/>
      <c r="Q149" s="726"/>
      <c r="R149" s="726"/>
      <c r="S149" s="726"/>
      <c r="T149" s="726"/>
      <c r="U149" s="726"/>
      <c r="V149" s="726"/>
      <c r="W149" s="726"/>
      <c r="X149" s="726"/>
      <c r="Y149" s="726"/>
      <c r="Z149" s="726"/>
      <c r="AA149" s="726"/>
      <c r="AB149" s="726"/>
      <c r="AC149" s="726"/>
      <c r="AD149" s="726"/>
      <c r="AE149" s="726"/>
      <c r="AF149" s="726"/>
      <c r="AG149" s="726"/>
      <c r="AH149" s="726"/>
      <c r="AI149" s="726"/>
      <c r="AJ149" s="726"/>
      <c r="AK149" s="726"/>
      <c r="AL149" s="726"/>
      <c r="AM149" s="726"/>
      <c r="AN149" s="726"/>
      <c r="AO149" s="726"/>
      <c r="AP149" s="726"/>
      <c r="AQ149" s="726"/>
      <c r="AR149" s="726"/>
      <c r="AS149" s="726"/>
      <c r="AT149" s="726"/>
      <c r="AU149" s="726"/>
      <c r="AV149" s="726"/>
      <c r="AW149" s="726"/>
      <c r="AX149" s="726"/>
      <c r="AY149" s="726"/>
      <c r="AZ149" s="726"/>
      <c r="BA149" s="726"/>
      <c r="BB149" s="726"/>
      <c r="BC149" s="726"/>
      <c r="BD149" s="726"/>
      <c r="BE149" s="726"/>
      <c r="BF149" s="726"/>
      <c r="BG149" s="726"/>
    </row>
    <row r="150" spans="1:59" s="14" customFormat="1" ht="13" x14ac:dyDescent="0.3">
      <c r="A150" s="738" t="s">
        <v>1439</v>
      </c>
      <c r="B150" s="739" t="s">
        <v>30</v>
      </c>
      <c r="C150" s="740" t="s">
        <v>37</v>
      </c>
      <c r="E150" s="733"/>
      <c r="F150" s="733"/>
      <c r="G150" s="733"/>
      <c r="H150" s="733"/>
      <c r="I150" s="746"/>
      <c r="J150" s="747"/>
      <c r="K150" s="733"/>
      <c r="L150" s="733"/>
      <c r="M150" s="733"/>
      <c r="N150" s="733"/>
      <c r="O150" s="733"/>
      <c r="P150" s="733"/>
      <c r="Q150" s="733"/>
      <c r="R150" s="733"/>
      <c r="S150" s="733"/>
      <c r="T150" s="733"/>
      <c r="U150" s="733"/>
      <c r="V150" s="733"/>
      <c r="W150" s="733"/>
      <c r="X150" s="733"/>
      <c r="Y150" s="733"/>
      <c r="Z150" s="733"/>
      <c r="AA150" s="733"/>
      <c r="AB150" s="733"/>
      <c r="AC150" s="733"/>
      <c r="AD150" s="733"/>
      <c r="AE150" s="733"/>
      <c r="AF150" s="733"/>
      <c r="AG150" s="733"/>
      <c r="AH150" s="733"/>
      <c r="AI150" s="733"/>
      <c r="AJ150" s="733"/>
      <c r="AK150" s="733"/>
      <c r="AL150" s="733"/>
      <c r="AM150" s="733"/>
      <c r="AN150" s="733"/>
      <c r="AO150" s="733"/>
      <c r="AP150" s="733"/>
      <c r="AQ150" s="733"/>
      <c r="AR150" s="733"/>
      <c r="AS150" s="733"/>
      <c r="AT150" s="733"/>
      <c r="AU150" s="733"/>
      <c r="AV150" s="733"/>
      <c r="AW150" s="733"/>
      <c r="AX150" s="733"/>
      <c r="AY150" s="733"/>
      <c r="AZ150" s="733"/>
      <c r="BA150" s="733"/>
      <c r="BB150" s="733"/>
      <c r="BC150" s="733"/>
      <c r="BD150" s="733"/>
      <c r="BE150" s="733"/>
      <c r="BF150" s="733"/>
      <c r="BG150" s="733"/>
    </row>
    <row r="151" spans="1:59" x14ac:dyDescent="0.25">
      <c r="A151" s="727" t="s">
        <v>220</v>
      </c>
      <c r="B151" s="728">
        <v>849</v>
      </c>
      <c r="C151" s="725">
        <f t="shared" si="3"/>
        <v>53.001338529146764</v>
      </c>
      <c r="D151" s="92"/>
      <c r="E151" s="726"/>
      <c r="F151" s="726"/>
      <c r="G151" s="726"/>
      <c r="H151" s="726"/>
      <c r="K151" s="726"/>
      <c r="L151" s="726"/>
      <c r="M151" s="726"/>
      <c r="N151" s="726"/>
      <c r="O151" s="726"/>
      <c r="P151" s="726"/>
      <c r="Q151" s="726"/>
      <c r="R151" s="726"/>
      <c r="S151" s="726"/>
      <c r="T151" s="726"/>
      <c r="U151" s="726"/>
      <c r="V151" s="726"/>
      <c r="W151" s="726"/>
      <c r="X151" s="726"/>
      <c r="Y151" s="726"/>
      <c r="Z151" s="726"/>
      <c r="AA151" s="726"/>
      <c r="AB151" s="726"/>
      <c r="AC151" s="726"/>
      <c r="AD151" s="726"/>
      <c r="AE151" s="726"/>
      <c r="AF151" s="726"/>
      <c r="AG151" s="726"/>
      <c r="AH151" s="726"/>
      <c r="AI151" s="726"/>
      <c r="AJ151" s="726"/>
      <c r="AK151" s="726"/>
      <c r="AL151" s="726"/>
      <c r="AM151" s="726"/>
      <c r="AN151" s="726"/>
      <c r="AO151" s="726"/>
      <c r="AP151" s="726"/>
      <c r="AQ151" s="726"/>
      <c r="AR151" s="726"/>
      <c r="AS151" s="726"/>
      <c r="AT151" s="726"/>
      <c r="AU151" s="726"/>
      <c r="AV151" s="726"/>
      <c r="AW151" s="726"/>
      <c r="AX151" s="726"/>
      <c r="AY151" s="726"/>
      <c r="AZ151" s="726"/>
      <c r="BA151" s="726"/>
      <c r="BB151" s="726"/>
      <c r="BC151" s="726"/>
      <c r="BD151" s="726"/>
      <c r="BE151" s="726"/>
      <c r="BF151" s="726"/>
      <c r="BG151" s="726"/>
    </row>
    <row r="152" spans="1:59" x14ac:dyDescent="0.25">
      <c r="A152" s="727" t="s">
        <v>221</v>
      </c>
      <c r="B152" s="728">
        <v>2691</v>
      </c>
      <c r="C152" s="725">
        <f t="shared" si="3"/>
        <v>167.99364191040513</v>
      </c>
      <c r="D152" s="92"/>
      <c r="E152" s="726"/>
      <c r="F152" s="726"/>
      <c r="G152" s="726"/>
      <c r="H152" s="726"/>
      <c r="K152" s="726"/>
      <c r="L152" s="726"/>
      <c r="M152" s="726"/>
      <c r="N152" s="726"/>
      <c r="O152" s="726"/>
      <c r="P152" s="726"/>
      <c r="Q152" s="726"/>
      <c r="R152" s="726"/>
      <c r="S152" s="726"/>
      <c r="T152" s="726"/>
      <c r="U152" s="726"/>
      <c r="V152" s="726"/>
      <c r="W152" s="726"/>
      <c r="X152" s="726"/>
      <c r="Y152" s="726"/>
      <c r="Z152" s="726"/>
      <c r="AA152" s="726"/>
      <c r="AB152" s="726"/>
      <c r="AC152" s="726"/>
      <c r="AD152" s="726"/>
      <c r="AE152" s="726"/>
      <c r="AF152" s="726"/>
      <c r="AG152" s="726"/>
      <c r="AH152" s="726"/>
      <c r="AI152" s="726"/>
      <c r="AJ152" s="726"/>
      <c r="AK152" s="726"/>
      <c r="AL152" s="726"/>
      <c r="AM152" s="726"/>
      <c r="AN152" s="726"/>
      <c r="AO152" s="726"/>
      <c r="AP152" s="726"/>
      <c r="AQ152" s="726"/>
      <c r="AR152" s="726"/>
      <c r="AS152" s="726"/>
      <c r="AT152" s="726"/>
      <c r="AU152" s="726"/>
      <c r="AV152" s="726"/>
      <c r="AW152" s="726"/>
      <c r="AX152" s="726"/>
      <c r="AY152" s="726"/>
      <c r="AZ152" s="726"/>
      <c r="BA152" s="726"/>
      <c r="BB152" s="726"/>
      <c r="BC152" s="726"/>
      <c r="BD152" s="726"/>
      <c r="BE152" s="726"/>
      <c r="BF152" s="726"/>
      <c r="BG152" s="726"/>
    </row>
    <row r="153" spans="1:59" x14ac:dyDescent="0.25">
      <c r="A153" s="727" t="s">
        <v>222</v>
      </c>
      <c r="B153" s="728">
        <v>1538</v>
      </c>
      <c r="C153" s="725">
        <f t="shared" si="3"/>
        <v>96.014203366110394</v>
      </c>
      <c r="D153" s="92"/>
      <c r="E153" s="726"/>
      <c r="F153" s="726"/>
      <c r="G153" s="726"/>
      <c r="H153" s="726"/>
      <c r="K153" s="726"/>
      <c r="L153" s="726"/>
      <c r="M153" s="726"/>
      <c r="N153" s="726"/>
      <c r="O153" s="726"/>
      <c r="P153" s="726"/>
      <c r="Q153" s="726"/>
      <c r="R153" s="726"/>
      <c r="S153" s="726"/>
      <c r="T153" s="726"/>
      <c r="U153" s="726"/>
      <c r="V153" s="726"/>
      <c r="W153" s="726"/>
      <c r="X153" s="726"/>
      <c r="Y153" s="726"/>
      <c r="Z153" s="726"/>
      <c r="AA153" s="726"/>
      <c r="AB153" s="726"/>
      <c r="AC153" s="726"/>
      <c r="AD153" s="726"/>
      <c r="AE153" s="726"/>
      <c r="AF153" s="726"/>
      <c r="AG153" s="726"/>
      <c r="AH153" s="726"/>
      <c r="AI153" s="726"/>
      <c r="AJ153" s="726"/>
      <c r="AK153" s="726"/>
      <c r="AL153" s="726"/>
      <c r="AM153" s="726"/>
      <c r="AN153" s="726"/>
      <c r="AO153" s="726"/>
      <c r="AP153" s="726"/>
      <c r="AQ153" s="726"/>
      <c r="AR153" s="726"/>
      <c r="AS153" s="726"/>
      <c r="AT153" s="726"/>
      <c r="AU153" s="726"/>
      <c r="AV153" s="726"/>
      <c r="AW153" s="726"/>
      <c r="AX153" s="726"/>
      <c r="AY153" s="726"/>
      <c r="AZ153" s="726"/>
      <c r="BA153" s="726"/>
      <c r="BB153" s="726"/>
      <c r="BC153" s="726"/>
      <c r="BD153" s="726"/>
      <c r="BE153" s="726"/>
      <c r="BF153" s="726"/>
      <c r="BG153" s="726"/>
    </row>
    <row r="154" spans="1:59" x14ac:dyDescent="0.25">
      <c r="A154" s="729" t="s">
        <v>223</v>
      </c>
      <c r="B154" s="730">
        <v>1540</v>
      </c>
      <c r="C154" s="725">
        <f t="shared" si="3"/>
        <v>96.139059287262683</v>
      </c>
      <c r="D154" s="92"/>
      <c r="E154" s="726"/>
      <c r="F154" s="726"/>
      <c r="G154" s="726"/>
      <c r="H154" s="726"/>
      <c r="K154" s="726"/>
      <c r="L154" s="726"/>
      <c r="M154" s="726"/>
      <c r="N154" s="726"/>
      <c r="O154" s="726"/>
      <c r="P154" s="726"/>
      <c r="Q154" s="726"/>
      <c r="R154" s="726"/>
      <c r="S154" s="726"/>
      <c r="T154" s="726"/>
      <c r="U154" s="726"/>
      <c r="V154" s="726"/>
      <c r="W154" s="726"/>
      <c r="X154" s="726"/>
      <c r="Y154" s="726"/>
      <c r="Z154" s="726"/>
      <c r="AA154" s="726"/>
      <c r="AB154" s="726"/>
      <c r="AC154" s="726"/>
      <c r="AD154" s="726"/>
      <c r="AE154" s="726"/>
      <c r="AF154" s="726"/>
      <c r="AG154" s="726"/>
      <c r="AH154" s="726"/>
      <c r="AI154" s="726"/>
      <c r="AJ154" s="726"/>
      <c r="AK154" s="726"/>
      <c r="AL154" s="726"/>
      <c r="AM154" s="726"/>
      <c r="AN154" s="726"/>
      <c r="AO154" s="726"/>
      <c r="AP154" s="726"/>
      <c r="AQ154" s="726"/>
      <c r="AR154" s="726"/>
      <c r="AS154" s="726"/>
      <c r="AT154" s="726"/>
      <c r="AU154" s="726"/>
      <c r="AV154" s="726"/>
      <c r="AW154" s="726"/>
      <c r="AX154" s="726"/>
      <c r="AY154" s="726"/>
      <c r="AZ154" s="726"/>
      <c r="BA154" s="726"/>
      <c r="BB154" s="726"/>
      <c r="BC154" s="726"/>
      <c r="BD154" s="726"/>
      <c r="BE154" s="726"/>
      <c r="BF154" s="726"/>
      <c r="BG154" s="726"/>
    </row>
    <row r="155" spans="1:59" x14ac:dyDescent="0.25">
      <c r="A155" s="729" t="s">
        <v>224</v>
      </c>
      <c r="B155" s="730">
        <v>1554</v>
      </c>
      <c r="C155" s="725">
        <f t="shared" si="3"/>
        <v>97.013050735328719</v>
      </c>
      <c r="D155" s="92"/>
      <c r="E155" s="726"/>
      <c r="F155" s="726"/>
      <c r="G155" s="726"/>
      <c r="H155" s="726"/>
      <c r="K155" s="726"/>
      <c r="L155" s="726"/>
      <c r="M155" s="726"/>
      <c r="N155" s="726"/>
      <c r="O155" s="726"/>
      <c r="P155" s="726"/>
      <c r="Q155" s="726"/>
      <c r="R155" s="726"/>
      <c r="S155" s="726"/>
      <c r="T155" s="726"/>
      <c r="U155" s="726"/>
      <c r="V155" s="726"/>
      <c r="W155" s="726"/>
      <c r="X155" s="726"/>
      <c r="Y155" s="726"/>
      <c r="Z155" s="726"/>
      <c r="AA155" s="726"/>
      <c r="AB155" s="726"/>
      <c r="AC155" s="726"/>
      <c r="AD155" s="726"/>
      <c r="AE155" s="726"/>
      <c r="AF155" s="726"/>
      <c r="AG155" s="726"/>
      <c r="AH155" s="726"/>
      <c r="AI155" s="726"/>
      <c r="AJ155" s="726"/>
      <c r="AK155" s="726"/>
      <c r="AL155" s="726"/>
      <c r="AM155" s="726"/>
      <c r="AN155" s="726"/>
      <c r="AO155" s="726"/>
      <c r="AP155" s="726"/>
      <c r="AQ155" s="726"/>
      <c r="AR155" s="726"/>
      <c r="AS155" s="726"/>
      <c r="AT155" s="726"/>
      <c r="AU155" s="726"/>
      <c r="AV155" s="726"/>
      <c r="AW155" s="726"/>
      <c r="AX155" s="726"/>
      <c r="AY155" s="726"/>
      <c r="AZ155" s="726"/>
      <c r="BA155" s="726"/>
      <c r="BB155" s="726"/>
      <c r="BC155" s="726"/>
      <c r="BD155" s="726"/>
      <c r="BE155" s="726"/>
      <c r="BF155" s="726"/>
      <c r="BG155" s="726"/>
    </row>
    <row r="156" spans="1:59" x14ac:dyDescent="0.25">
      <c r="A156" s="727" t="s">
        <v>225</v>
      </c>
      <c r="B156" s="728">
        <v>1394</v>
      </c>
      <c r="C156" s="725">
        <f t="shared" si="3"/>
        <v>87.024577043145584</v>
      </c>
      <c r="D156" s="92"/>
      <c r="E156" s="726"/>
      <c r="F156" s="726"/>
      <c r="G156" s="726"/>
      <c r="H156" s="726"/>
      <c r="I156" s="746"/>
      <c r="J156" s="747"/>
      <c r="K156" s="726"/>
      <c r="L156" s="726"/>
      <c r="M156" s="726"/>
      <c r="N156" s="726"/>
      <c r="O156" s="726"/>
      <c r="P156" s="726"/>
      <c r="Q156" s="726"/>
      <c r="R156" s="726"/>
      <c r="S156" s="726"/>
      <c r="T156" s="726"/>
      <c r="U156" s="726"/>
      <c r="V156" s="726"/>
      <c r="W156" s="726"/>
      <c r="X156" s="726"/>
      <c r="Y156" s="726"/>
      <c r="Z156" s="726"/>
      <c r="AA156" s="726"/>
      <c r="AB156" s="726"/>
      <c r="AC156" s="726"/>
      <c r="AD156" s="726"/>
      <c r="AE156" s="726"/>
      <c r="AF156" s="726"/>
      <c r="AG156" s="726"/>
      <c r="AH156" s="726"/>
      <c r="AI156" s="726"/>
      <c r="AJ156" s="726"/>
      <c r="AK156" s="726"/>
      <c r="AL156" s="726"/>
      <c r="AM156" s="726"/>
      <c r="AN156" s="726"/>
      <c r="AO156" s="726"/>
      <c r="AP156" s="726"/>
      <c r="AQ156" s="726"/>
      <c r="AR156" s="726"/>
      <c r="AS156" s="726"/>
      <c r="AT156" s="726"/>
      <c r="AU156" s="726"/>
      <c r="AV156" s="726"/>
      <c r="AW156" s="726"/>
      <c r="AX156" s="726"/>
      <c r="AY156" s="726"/>
      <c r="AZ156" s="726"/>
      <c r="BA156" s="726"/>
      <c r="BB156" s="726"/>
      <c r="BC156" s="726"/>
      <c r="BD156" s="726"/>
      <c r="BE156" s="726"/>
      <c r="BF156" s="726"/>
      <c r="BG156" s="726"/>
    </row>
    <row r="157" spans="1:59" x14ac:dyDescent="0.25">
      <c r="A157" s="729" t="s">
        <v>226</v>
      </c>
      <c r="B157" s="730">
        <v>2611</v>
      </c>
      <c r="C157" s="725">
        <f t="shared" si="3"/>
        <v>162.99940506431355</v>
      </c>
      <c r="D157" s="92"/>
      <c r="E157" s="726"/>
      <c r="F157" s="726"/>
      <c r="G157" s="726"/>
      <c r="H157" s="726"/>
      <c r="K157" s="726"/>
      <c r="L157" s="726"/>
      <c r="M157" s="726"/>
      <c r="N157" s="726"/>
      <c r="O157" s="726"/>
      <c r="P157" s="726"/>
      <c r="Q157" s="726"/>
      <c r="R157" s="726"/>
      <c r="S157" s="726"/>
      <c r="T157" s="726"/>
      <c r="U157" s="726"/>
      <c r="V157" s="726"/>
      <c r="W157" s="726"/>
      <c r="X157" s="726"/>
      <c r="Y157" s="726"/>
      <c r="Z157" s="726"/>
      <c r="AA157" s="726"/>
      <c r="AB157" s="726"/>
      <c r="AC157" s="726"/>
      <c r="AD157" s="726"/>
      <c r="AE157" s="726"/>
      <c r="AF157" s="726"/>
      <c r="AG157" s="726"/>
      <c r="AH157" s="726"/>
      <c r="AI157" s="726"/>
      <c r="AJ157" s="726"/>
      <c r="AK157" s="726"/>
      <c r="AL157" s="726"/>
      <c r="AM157" s="726"/>
      <c r="AN157" s="726"/>
      <c r="AO157" s="726"/>
      <c r="AP157" s="726"/>
      <c r="AQ157" s="726"/>
      <c r="AR157" s="726"/>
      <c r="AS157" s="726"/>
      <c r="AT157" s="726"/>
      <c r="AU157" s="726"/>
      <c r="AV157" s="726"/>
      <c r="AW157" s="726"/>
      <c r="AX157" s="726"/>
      <c r="AY157" s="726"/>
      <c r="AZ157" s="726"/>
      <c r="BA157" s="726"/>
      <c r="BB157" s="726"/>
      <c r="BC157" s="726"/>
      <c r="BD157" s="726"/>
      <c r="BE157" s="726"/>
      <c r="BF157" s="726"/>
      <c r="BG157" s="726"/>
    </row>
    <row r="158" spans="1:59" x14ac:dyDescent="0.25">
      <c r="A158" s="729" t="s">
        <v>227</v>
      </c>
      <c r="B158" s="730">
        <v>2467</v>
      </c>
      <c r="C158" s="725">
        <f t="shared" si="3"/>
        <v>154.00977874134873</v>
      </c>
      <c r="D158" s="92"/>
      <c r="E158" s="726"/>
      <c r="F158" s="726"/>
      <c r="G158" s="726"/>
      <c r="H158" s="726"/>
      <c r="I158" s="749"/>
      <c r="J158" s="747"/>
      <c r="K158" s="726"/>
      <c r="L158" s="726"/>
      <c r="M158" s="726"/>
      <c r="N158" s="726"/>
      <c r="O158" s="726"/>
      <c r="P158" s="726"/>
      <c r="Q158" s="726"/>
      <c r="R158" s="726"/>
      <c r="S158" s="726"/>
      <c r="T158" s="726"/>
      <c r="U158" s="726"/>
      <c r="V158" s="726"/>
      <c r="W158" s="726"/>
      <c r="X158" s="726"/>
      <c r="Y158" s="726"/>
      <c r="Z158" s="726"/>
      <c r="AA158" s="726"/>
      <c r="AB158" s="726"/>
      <c r="AC158" s="726"/>
      <c r="AD158" s="726"/>
      <c r="AE158" s="726"/>
      <c r="AF158" s="726"/>
      <c r="AG158" s="726"/>
      <c r="AH158" s="726"/>
      <c r="AI158" s="726"/>
      <c r="AJ158" s="726"/>
      <c r="AK158" s="726"/>
      <c r="AL158" s="726"/>
      <c r="AM158" s="726"/>
      <c r="AN158" s="726"/>
      <c r="AO158" s="726"/>
      <c r="AP158" s="726"/>
      <c r="AQ158" s="726"/>
      <c r="AR158" s="726"/>
      <c r="AS158" s="726"/>
      <c r="AT158" s="726"/>
      <c r="AU158" s="726"/>
      <c r="AV158" s="726"/>
      <c r="AW158" s="726"/>
      <c r="AX158" s="726"/>
      <c r="AY158" s="726"/>
      <c r="AZ158" s="726"/>
      <c r="BA158" s="726"/>
      <c r="BB158" s="726"/>
      <c r="BC158" s="726"/>
      <c r="BD158" s="726"/>
      <c r="BE158" s="726"/>
      <c r="BF158" s="726"/>
      <c r="BG158" s="726"/>
    </row>
    <row r="159" spans="1:59" x14ac:dyDescent="0.25">
      <c r="A159" s="727" t="s">
        <v>228</v>
      </c>
      <c r="B159" s="728">
        <v>3796</v>
      </c>
      <c r="C159" s="725">
        <f t="shared" si="3"/>
        <v>236.97653834704491</v>
      </c>
      <c r="D159" s="92"/>
      <c r="E159" s="726"/>
      <c r="F159" s="726"/>
      <c r="G159" s="726"/>
      <c r="H159" s="726"/>
      <c r="I159" s="746"/>
      <c r="J159" s="747"/>
      <c r="K159" s="726"/>
      <c r="L159" s="726"/>
      <c r="M159" s="726"/>
      <c r="N159" s="726"/>
      <c r="O159" s="726"/>
      <c r="P159" s="726"/>
      <c r="Q159" s="726"/>
      <c r="R159" s="726"/>
      <c r="S159" s="726"/>
      <c r="T159" s="726"/>
      <c r="U159" s="726"/>
      <c r="V159" s="726"/>
      <c r="W159" s="726"/>
      <c r="X159" s="726"/>
      <c r="Y159" s="726"/>
      <c r="Z159" s="726"/>
      <c r="AA159" s="726"/>
      <c r="AB159" s="726"/>
      <c r="AC159" s="726"/>
      <c r="AD159" s="726"/>
      <c r="AE159" s="726"/>
      <c r="AF159" s="726"/>
      <c r="AG159" s="726"/>
      <c r="AH159" s="726"/>
      <c r="AI159" s="726"/>
      <c r="AJ159" s="726"/>
      <c r="AK159" s="726"/>
      <c r="AL159" s="726"/>
      <c r="AM159" s="726"/>
      <c r="AN159" s="726"/>
      <c r="AO159" s="726"/>
      <c r="AP159" s="726"/>
      <c r="AQ159" s="726"/>
      <c r="AR159" s="726"/>
      <c r="AS159" s="726"/>
      <c r="AT159" s="726"/>
      <c r="AU159" s="726"/>
      <c r="AV159" s="726"/>
      <c r="AW159" s="726"/>
      <c r="AX159" s="726"/>
      <c r="AY159" s="726"/>
      <c r="AZ159" s="726"/>
      <c r="BA159" s="726"/>
      <c r="BB159" s="726"/>
      <c r="BC159" s="726"/>
      <c r="BD159" s="726"/>
      <c r="BE159" s="726"/>
      <c r="BF159" s="726"/>
      <c r="BG159" s="726"/>
    </row>
    <row r="160" spans="1:59" x14ac:dyDescent="0.25">
      <c r="A160" s="731" t="s">
        <v>229</v>
      </c>
      <c r="B160" s="732">
        <v>513</v>
      </c>
      <c r="C160" s="725">
        <f t="shared" si="3"/>
        <v>32.025543775562184</v>
      </c>
      <c r="D160" s="92"/>
      <c r="E160" s="726"/>
      <c r="F160" s="726"/>
      <c r="G160" s="726"/>
      <c r="H160" s="726"/>
      <c r="I160" s="750"/>
      <c r="K160" s="726"/>
      <c r="L160" s="726"/>
      <c r="M160" s="726"/>
      <c r="N160" s="726"/>
      <c r="O160" s="726"/>
      <c r="P160" s="726"/>
      <c r="Q160" s="726"/>
      <c r="R160" s="726"/>
      <c r="S160" s="726"/>
      <c r="T160" s="726"/>
      <c r="U160" s="726"/>
      <c r="V160" s="726"/>
      <c r="W160" s="726"/>
      <c r="X160" s="726"/>
      <c r="Y160" s="726"/>
      <c r="Z160" s="726"/>
      <c r="AA160" s="726"/>
      <c r="AB160" s="726"/>
      <c r="AC160" s="726"/>
      <c r="AD160" s="726"/>
      <c r="AE160" s="726"/>
      <c r="AF160" s="726"/>
      <c r="AG160" s="726"/>
      <c r="AH160" s="726"/>
      <c r="AI160" s="726"/>
      <c r="AJ160" s="726"/>
      <c r="AK160" s="726"/>
      <c r="AL160" s="726"/>
      <c r="AM160" s="726"/>
      <c r="AN160" s="726"/>
      <c r="AO160" s="726"/>
      <c r="AP160" s="726"/>
      <c r="AQ160" s="726"/>
      <c r="AR160" s="726"/>
      <c r="AS160" s="726"/>
      <c r="AT160" s="726"/>
      <c r="AU160" s="726"/>
      <c r="AV160" s="726"/>
      <c r="AW160" s="726"/>
      <c r="AX160" s="726"/>
      <c r="AY160" s="726"/>
      <c r="AZ160" s="726"/>
      <c r="BA160" s="726"/>
      <c r="BB160" s="726"/>
      <c r="BC160" s="726"/>
      <c r="BD160" s="726"/>
      <c r="BE160" s="726"/>
      <c r="BF160" s="726"/>
      <c r="BG160" s="726"/>
    </row>
    <row r="161" spans="1:59" ht="13" x14ac:dyDescent="0.25">
      <c r="A161" s="729" t="s">
        <v>230</v>
      </c>
      <c r="B161" s="730">
        <v>753</v>
      </c>
      <c r="C161" s="725">
        <f t="shared" si="3"/>
        <v>47.008254313836886</v>
      </c>
      <c r="D161" s="92"/>
      <c r="E161" s="726"/>
      <c r="F161" s="726"/>
      <c r="G161" s="726"/>
      <c r="H161" s="726"/>
      <c r="I161" s="751"/>
      <c r="K161" s="726"/>
      <c r="L161" s="726"/>
      <c r="M161" s="726"/>
      <c r="N161" s="726"/>
      <c r="O161" s="726"/>
      <c r="P161" s="726"/>
      <c r="Q161" s="726"/>
      <c r="R161" s="726"/>
      <c r="S161" s="726"/>
      <c r="T161" s="726"/>
      <c r="U161" s="726"/>
      <c r="V161" s="726"/>
      <c r="W161" s="726"/>
      <c r="X161" s="726"/>
      <c r="Y161" s="726"/>
      <c r="Z161" s="726"/>
      <c r="AA161" s="726"/>
      <c r="AB161" s="726"/>
      <c r="AC161" s="726"/>
      <c r="AD161" s="726"/>
      <c r="AE161" s="726"/>
      <c r="AF161" s="726"/>
      <c r="AG161" s="726"/>
      <c r="AH161" s="726"/>
      <c r="AI161" s="726"/>
      <c r="AJ161" s="726"/>
      <c r="AK161" s="726"/>
      <c r="AL161" s="726"/>
      <c r="AM161" s="726"/>
      <c r="AN161" s="726"/>
      <c r="AO161" s="726"/>
      <c r="AP161" s="726"/>
      <c r="AQ161" s="726"/>
      <c r="AR161" s="726"/>
      <c r="AS161" s="726"/>
      <c r="AT161" s="726"/>
      <c r="AU161" s="726"/>
      <c r="AV161" s="726"/>
      <c r="AW161" s="726"/>
      <c r="AX161" s="726"/>
      <c r="AY161" s="726"/>
      <c r="AZ161" s="726"/>
      <c r="BA161" s="726"/>
      <c r="BB161" s="726"/>
      <c r="BC161" s="726"/>
      <c r="BD161" s="726"/>
      <c r="BE161" s="726"/>
      <c r="BF161" s="726"/>
      <c r="BG161" s="726"/>
    </row>
    <row r="162" spans="1:59" x14ac:dyDescent="0.25">
      <c r="A162" s="727" t="s">
        <v>231</v>
      </c>
      <c r="B162" s="728">
        <v>705</v>
      </c>
      <c r="C162" s="725">
        <f t="shared" si="3"/>
        <v>44.011712206181947</v>
      </c>
      <c r="D162" s="92"/>
      <c r="E162" s="726"/>
      <c r="F162" s="726"/>
      <c r="G162" s="726"/>
      <c r="H162" s="726"/>
      <c r="I162" s="745"/>
      <c r="K162" s="726"/>
      <c r="L162" s="726"/>
      <c r="M162" s="726"/>
      <c r="N162" s="726"/>
      <c r="O162" s="726"/>
      <c r="P162" s="726"/>
      <c r="Q162" s="726"/>
      <c r="R162" s="726"/>
      <c r="S162" s="726"/>
      <c r="T162" s="726"/>
      <c r="U162" s="726"/>
      <c r="V162" s="726"/>
      <c r="W162" s="726"/>
      <c r="X162" s="726"/>
      <c r="Y162" s="726"/>
      <c r="Z162" s="726"/>
      <c r="AA162" s="726"/>
      <c r="AB162" s="726"/>
      <c r="AC162" s="726"/>
      <c r="AD162" s="726"/>
      <c r="AE162" s="726"/>
      <c r="AF162" s="726"/>
      <c r="AG162" s="726"/>
      <c r="AH162" s="726"/>
      <c r="AI162" s="726"/>
      <c r="AJ162" s="726"/>
      <c r="AK162" s="726"/>
      <c r="AL162" s="726"/>
      <c r="AM162" s="726"/>
      <c r="AN162" s="726"/>
      <c r="AO162" s="726"/>
      <c r="AP162" s="726"/>
      <c r="AQ162" s="726"/>
      <c r="AR162" s="726"/>
      <c r="AS162" s="726"/>
      <c r="AT162" s="726"/>
      <c r="AU162" s="726"/>
      <c r="AV162" s="726"/>
      <c r="AW162" s="726"/>
      <c r="AX162" s="726"/>
      <c r="AY162" s="726"/>
      <c r="AZ162" s="726"/>
      <c r="BA162" s="726"/>
      <c r="BB162" s="726"/>
      <c r="BC162" s="726"/>
      <c r="BD162" s="726"/>
      <c r="BE162" s="726"/>
      <c r="BF162" s="726"/>
      <c r="BG162" s="726"/>
    </row>
    <row r="163" spans="1:59" x14ac:dyDescent="0.25">
      <c r="A163" s="729" t="s">
        <v>378</v>
      </c>
      <c r="B163" s="730">
        <v>1442</v>
      </c>
      <c r="C163" s="725">
        <f t="shared" si="3"/>
        <v>90.02111915080053</v>
      </c>
      <c r="D163" s="92"/>
      <c r="E163" s="726"/>
      <c r="F163" s="726"/>
      <c r="G163" s="726"/>
      <c r="H163" s="726"/>
      <c r="I163" s="745"/>
      <c r="K163" s="726"/>
      <c r="L163" s="726"/>
      <c r="M163" s="726"/>
      <c r="N163" s="726"/>
      <c r="O163" s="726"/>
      <c r="P163" s="726"/>
      <c r="Q163" s="726"/>
      <c r="R163" s="726"/>
      <c r="S163" s="726"/>
      <c r="T163" s="726"/>
      <c r="U163" s="726"/>
      <c r="V163" s="726"/>
      <c r="W163" s="726"/>
      <c r="X163" s="726"/>
      <c r="Y163" s="726"/>
      <c r="Z163" s="726"/>
      <c r="AA163" s="726"/>
      <c r="AB163" s="726"/>
      <c r="AC163" s="726"/>
      <c r="AD163" s="726"/>
      <c r="AE163" s="726"/>
      <c r="AF163" s="726"/>
      <c r="AG163" s="726"/>
      <c r="AH163" s="726"/>
      <c r="AI163" s="726"/>
      <c r="AJ163" s="726"/>
      <c r="AK163" s="726"/>
      <c r="AL163" s="726"/>
      <c r="AM163" s="726"/>
      <c r="AN163" s="726"/>
      <c r="AO163" s="726"/>
      <c r="AP163" s="726"/>
      <c r="AQ163" s="726"/>
      <c r="AR163" s="726"/>
      <c r="AS163" s="726"/>
      <c r="AT163" s="726"/>
      <c r="AU163" s="726"/>
      <c r="AV163" s="726"/>
      <c r="AW163" s="726"/>
      <c r="AX163" s="726"/>
      <c r="AY163" s="726"/>
      <c r="AZ163" s="726"/>
      <c r="BA163" s="726"/>
      <c r="BB163" s="726"/>
      <c r="BC163" s="726"/>
      <c r="BD163" s="726"/>
      <c r="BE163" s="726"/>
      <c r="BF163" s="726"/>
      <c r="BG163" s="726"/>
    </row>
    <row r="164" spans="1:59" x14ac:dyDescent="0.25">
      <c r="A164" s="729" t="s">
        <v>232</v>
      </c>
      <c r="B164" s="730">
        <v>3011</v>
      </c>
      <c r="C164" s="725">
        <f t="shared" si="3"/>
        <v>187.9705892947714</v>
      </c>
      <c r="D164" s="92"/>
      <c r="E164" s="726"/>
      <c r="F164" s="726"/>
      <c r="G164" s="726"/>
      <c r="H164" s="726"/>
      <c r="I164" s="745"/>
      <c r="K164" s="726"/>
      <c r="L164" s="726"/>
      <c r="M164" s="726"/>
      <c r="N164" s="726"/>
      <c r="O164" s="726"/>
      <c r="P164" s="726"/>
      <c r="Q164" s="726"/>
      <c r="R164" s="726"/>
      <c r="S164" s="726"/>
      <c r="T164" s="726"/>
      <c r="U164" s="726"/>
      <c r="V164" s="726"/>
      <c r="W164" s="726"/>
      <c r="X164" s="726"/>
      <c r="Y164" s="726"/>
      <c r="Z164" s="726"/>
      <c r="AA164" s="726"/>
      <c r="AB164" s="726"/>
      <c r="AC164" s="726"/>
      <c r="AD164" s="726"/>
      <c r="AE164" s="726"/>
      <c r="AF164" s="726"/>
      <c r="AG164" s="726"/>
      <c r="AH164" s="726"/>
      <c r="AI164" s="726"/>
      <c r="AJ164" s="726"/>
      <c r="AK164" s="726"/>
      <c r="AL164" s="726"/>
      <c r="AM164" s="726"/>
      <c r="AN164" s="726"/>
      <c r="AO164" s="726"/>
      <c r="AP164" s="726"/>
      <c r="AQ164" s="726"/>
      <c r="AR164" s="726"/>
      <c r="AS164" s="726"/>
      <c r="AT164" s="726"/>
      <c r="AU164" s="726"/>
      <c r="AV164" s="726"/>
      <c r="AW164" s="726"/>
      <c r="AX164" s="726"/>
      <c r="AY164" s="726"/>
      <c r="AZ164" s="726"/>
      <c r="BA164" s="726"/>
      <c r="BB164" s="726"/>
      <c r="BC164" s="726"/>
      <c r="BD164" s="726"/>
      <c r="BE164" s="726"/>
      <c r="BF164" s="726"/>
      <c r="BG164" s="726"/>
    </row>
    <row r="165" spans="1:59" x14ac:dyDescent="0.25">
      <c r="A165" s="727" t="s">
        <v>233</v>
      </c>
      <c r="B165" s="728">
        <v>1940</v>
      </c>
      <c r="C165" s="725">
        <f t="shared" si="3"/>
        <v>121.11024351772053</v>
      </c>
      <c r="D165" s="747">
        <v>45</v>
      </c>
      <c r="E165" s="726"/>
      <c r="F165" s="726"/>
      <c r="G165" s="726"/>
      <c r="H165" s="726"/>
      <c r="I165" s="745"/>
      <c r="K165" s="726"/>
      <c r="L165" s="726"/>
      <c r="M165" s="726"/>
      <c r="N165" s="726"/>
      <c r="O165" s="726"/>
      <c r="P165" s="726"/>
      <c r="Q165" s="726"/>
      <c r="R165" s="726"/>
      <c r="S165" s="726"/>
      <c r="T165" s="726"/>
      <c r="U165" s="726"/>
      <c r="V165" s="726"/>
      <c r="W165" s="726"/>
      <c r="X165" s="726"/>
      <c r="Y165" s="726"/>
      <c r="Z165" s="726"/>
      <c r="AA165" s="726"/>
      <c r="AB165" s="726"/>
      <c r="AC165" s="726"/>
      <c r="AD165" s="726"/>
      <c r="AE165" s="726"/>
      <c r="AF165" s="726"/>
      <c r="AG165" s="726"/>
      <c r="AH165" s="726"/>
      <c r="AI165" s="726"/>
      <c r="AJ165" s="726"/>
      <c r="AK165" s="726"/>
      <c r="AL165" s="726"/>
      <c r="AM165" s="726"/>
      <c r="AN165" s="726"/>
      <c r="AO165" s="726"/>
      <c r="AP165" s="726"/>
      <c r="AQ165" s="726"/>
      <c r="AR165" s="726"/>
      <c r="AS165" s="726"/>
      <c r="AT165" s="726"/>
      <c r="AU165" s="726"/>
      <c r="AV165" s="726"/>
      <c r="AW165" s="726"/>
      <c r="AX165" s="726"/>
      <c r="AY165" s="726"/>
      <c r="AZ165" s="726"/>
      <c r="BA165" s="726"/>
      <c r="BB165" s="726"/>
      <c r="BC165" s="726"/>
      <c r="BD165" s="726"/>
      <c r="BE165" s="726"/>
      <c r="BF165" s="726"/>
      <c r="BG165" s="726"/>
    </row>
    <row r="166" spans="1:59" x14ac:dyDescent="0.25">
      <c r="A166" s="727" t="s">
        <v>234</v>
      </c>
      <c r="B166" s="728">
        <v>1121</v>
      </c>
      <c r="C166" s="725">
        <f t="shared" si="3"/>
        <v>69.981743805858102</v>
      </c>
      <c r="D166" s="92"/>
      <c r="E166" s="726"/>
      <c r="F166" s="726"/>
      <c r="G166" s="726"/>
      <c r="H166" s="726"/>
      <c r="I166" s="745"/>
      <c r="K166" s="726"/>
      <c r="L166" s="726"/>
      <c r="M166" s="726"/>
      <c r="N166" s="726"/>
      <c r="O166" s="726"/>
      <c r="P166" s="726"/>
      <c r="Q166" s="726"/>
      <c r="R166" s="726"/>
      <c r="S166" s="726"/>
      <c r="T166" s="726"/>
      <c r="U166" s="726"/>
      <c r="V166" s="726"/>
      <c r="W166" s="726"/>
      <c r="X166" s="726"/>
      <c r="Y166" s="726"/>
      <c r="Z166" s="726"/>
      <c r="AA166" s="726"/>
      <c r="AB166" s="726"/>
      <c r="AC166" s="726"/>
      <c r="AD166" s="726"/>
      <c r="AE166" s="726"/>
      <c r="AF166" s="726"/>
      <c r="AG166" s="726"/>
      <c r="AH166" s="726"/>
      <c r="AI166" s="726"/>
      <c r="AJ166" s="726"/>
      <c r="AK166" s="726"/>
      <c r="AL166" s="726"/>
      <c r="AM166" s="726"/>
      <c r="AN166" s="726"/>
      <c r="AO166" s="726"/>
      <c r="AP166" s="726"/>
      <c r="AQ166" s="726"/>
      <c r="AR166" s="726"/>
      <c r="AS166" s="726"/>
      <c r="AT166" s="726"/>
      <c r="AU166" s="726"/>
      <c r="AV166" s="726"/>
      <c r="AW166" s="726"/>
      <c r="AX166" s="726"/>
      <c r="AY166" s="726"/>
      <c r="AZ166" s="726"/>
      <c r="BA166" s="726"/>
      <c r="BB166" s="726"/>
      <c r="BC166" s="726"/>
      <c r="BD166" s="726"/>
      <c r="BE166" s="726"/>
      <c r="BF166" s="726"/>
      <c r="BG166" s="726"/>
    </row>
    <row r="167" spans="1:59" x14ac:dyDescent="0.25">
      <c r="A167" s="729" t="s">
        <v>235</v>
      </c>
      <c r="B167" s="730">
        <v>3284</v>
      </c>
      <c r="C167" s="725">
        <f t="shared" si="3"/>
        <v>205.01342253205888</v>
      </c>
      <c r="D167" s="92"/>
      <c r="E167" s="726"/>
      <c r="F167" s="726"/>
      <c r="G167" s="726"/>
      <c r="H167" s="726"/>
      <c r="I167" s="745"/>
      <c r="K167" s="726"/>
      <c r="L167" s="726"/>
      <c r="M167" s="726"/>
      <c r="N167" s="726"/>
      <c r="O167" s="726"/>
      <c r="P167" s="726"/>
      <c r="Q167" s="726"/>
      <c r="R167" s="726"/>
      <c r="S167" s="726"/>
      <c r="T167" s="726"/>
      <c r="U167" s="726"/>
      <c r="V167" s="726"/>
      <c r="W167" s="726"/>
      <c r="X167" s="726"/>
      <c r="Y167" s="726"/>
      <c r="Z167" s="726"/>
      <c r="AA167" s="726"/>
      <c r="AB167" s="726"/>
      <c r="AC167" s="726"/>
      <c r="AD167" s="726"/>
      <c r="AE167" s="726"/>
      <c r="AF167" s="726"/>
      <c r="AG167" s="726"/>
      <c r="AH167" s="726"/>
      <c r="AI167" s="726"/>
      <c r="AJ167" s="726"/>
      <c r="AK167" s="726"/>
      <c r="AL167" s="726"/>
      <c r="AM167" s="726"/>
      <c r="AN167" s="726"/>
      <c r="AO167" s="726"/>
      <c r="AP167" s="726"/>
      <c r="AQ167" s="726"/>
      <c r="AR167" s="726"/>
      <c r="AS167" s="726"/>
      <c r="AT167" s="726"/>
      <c r="AU167" s="726"/>
      <c r="AV167" s="726"/>
      <c r="AW167" s="726"/>
      <c r="AX167" s="726"/>
      <c r="AY167" s="726"/>
      <c r="AZ167" s="726"/>
      <c r="BA167" s="726"/>
      <c r="BB167" s="726"/>
      <c r="BC167" s="726"/>
      <c r="BD167" s="726"/>
      <c r="BE167" s="726"/>
      <c r="BF167" s="726"/>
      <c r="BG167" s="726"/>
    </row>
    <row r="168" spans="1:59" x14ac:dyDescent="0.25">
      <c r="A168" s="729" t="s">
        <v>236</v>
      </c>
      <c r="B168" s="730">
        <v>5046</v>
      </c>
      <c r="C168" s="725">
        <f t="shared" si="3"/>
        <v>315.01148906722568</v>
      </c>
      <c r="D168" s="92"/>
      <c r="E168" s="726"/>
      <c r="F168" s="726"/>
      <c r="G168" s="726"/>
      <c r="H168" s="726"/>
      <c r="I168" s="745"/>
      <c r="K168" s="726"/>
      <c r="L168" s="726"/>
      <c r="M168" s="726"/>
      <c r="N168" s="726"/>
      <c r="O168" s="726"/>
      <c r="P168" s="726"/>
      <c r="Q168" s="726"/>
      <c r="R168" s="726"/>
      <c r="S168" s="726"/>
      <c r="T168" s="726"/>
      <c r="U168" s="726"/>
      <c r="V168" s="726"/>
      <c r="W168" s="726"/>
      <c r="X168" s="726"/>
      <c r="Y168" s="726"/>
      <c r="Z168" s="726"/>
      <c r="AA168" s="726"/>
      <c r="AB168" s="726"/>
      <c r="AC168" s="726"/>
      <c r="AD168" s="726"/>
      <c r="AE168" s="726"/>
      <c r="AF168" s="726"/>
      <c r="AG168" s="726"/>
      <c r="AH168" s="726"/>
      <c r="AI168" s="726"/>
      <c r="AJ168" s="726"/>
      <c r="AK168" s="726"/>
      <c r="AL168" s="726"/>
      <c r="AM168" s="726"/>
      <c r="AN168" s="726"/>
      <c r="AO168" s="726"/>
      <c r="AP168" s="726"/>
      <c r="AQ168" s="726"/>
      <c r="AR168" s="726"/>
      <c r="AS168" s="726"/>
      <c r="AT168" s="726"/>
      <c r="AU168" s="726"/>
      <c r="AV168" s="726"/>
      <c r="AW168" s="726"/>
      <c r="AX168" s="726"/>
      <c r="AY168" s="726"/>
      <c r="AZ168" s="726"/>
      <c r="BA168" s="726"/>
      <c r="BB168" s="726"/>
      <c r="BC168" s="726"/>
      <c r="BD168" s="726"/>
      <c r="BE168" s="726"/>
      <c r="BF168" s="726"/>
      <c r="BG168" s="726"/>
    </row>
    <row r="169" spans="1:59" x14ac:dyDescent="0.25">
      <c r="A169" s="727" t="s">
        <v>237</v>
      </c>
      <c r="B169" s="728">
        <v>3855</v>
      </c>
      <c r="C169" s="725">
        <f t="shared" si="3"/>
        <v>240.65978802103746</v>
      </c>
      <c r="D169" s="92"/>
      <c r="E169" s="726"/>
      <c r="F169" s="726"/>
      <c r="G169" s="726"/>
      <c r="H169" s="726"/>
      <c r="I169" s="745"/>
      <c r="K169" s="726"/>
      <c r="L169" s="726"/>
      <c r="M169" s="726"/>
      <c r="N169" s="726"/>
      <c r="O169" s="726"/>
      <c r="P169" s="726"/>
      <c r="Q169" s="726"/>
      <c r="R169" s="726"/>
      <c r="S169" s="726"/>
      <c r="T169" s="726"/>
      <c r="U169" s="726"/>
      <c r="V169" s="726"/>
      <c r="W169" s="726"/>
      <c r="X169" s="726"/>
      <c r="Y169" s="726"/>
      <c r="Z169" s="726"/>
      <c r="AA169" s="726"/>
      <c r="AB169" s="726"/>
      <c r="AC169" s="726"/>
      <c r="AD169" s="726"/>
      <c r="AE169" s="726"/>
      <c r="AF169" s="726"/>
      <c r="AG169" s="726"/>
      <c r="AH169" s="726"/>
      <c r="AI169" s="726"/>
      <c r="AJ169" s="726"/>
      <c r="AK169" s="726"/>
      <c r="AL169" s="726"/>
      <c r="AM169" s="726"/>
      <c r="AN169" s="726"/>
      <c r="AO169" s="726"/>
      <c r="AP169" s="726"/>
      <c r="AQ169" s="726"/>
      <c r="AR169" s="726"/>
      <c r="AS169" s="726"/>
      <c r="AT169" s="726"/>
      <c r="AU169" s="726"/>
      <c r="AV169" s="726"/>
      <c r="AW169" s="726"/>
      <c r="AX169" s="726"/>
      <c r="AY169" s="726"/>
      <c r="AZ169" s="726"/>
      <c r="BA169" s="726"/>
      <c r="BB169" s="726"/>
      <c r="BC169" s="726"/>
      <c r="BD169" s="726"/>
      <c r="BE169" s="726"/>
      <c r="BF169" s="726"/>
      <c r="BG169" s="726"/>
    </row>
    <row r="170" spans="1:59" x14ac:dyDescent="0.25">
      <c r="A170" s="727" t="s">
        <v>238</v>
      </c>
      <c r="B170" s="728">
        <v>336</v>
      </c>
      <c r="C170" s="725">
        <f t="shared" si="3"/>
        <v>20.975794753584587</v>
      </c>
      <c r="D170" s="92"/>
      <c r="E170" s="726"/>
      <c r="F170" s="726"/>
      <c r="G170" s="726"/>
      <c r="H170" s="726"/>
      <c r="I170" s="745"/>
      <c r="K170" s="726"/>
      <c r="L170" s="726"/>
      <c r="M170" s="726"/>
      <c r="N170" s="726"/>
      <c r="O170" s="726"/>
      <c r="P170" s="726"/>
      <c r="Q170" s="726"/>
      <c r="R170" s="726"/>
      <c r="S170" s="726"/>
      <c r="T170" s="726"/>
      <c r="U170" s="726"/>
      <c r="V170" s="726"/>
      <c r="W170" s="726"/>
      <c r="X170" s="726"/>
      <c r="Y170" s="726"/>
      <c r="Z170" s="726"/>
      <c r="AA170" s="726"/>
      <c r="AB170" s="726"/>
      <c r="AC170" s="726"/>
      <c r="AD170" s="726"/>
      <c r="AE170" s="726"/>
      <c r="AF170" s="726"/>
      <c r="AG170" s="726"/>
      <c r="AH170" s="726"/>
      <c r="AI170" s="726"/>
      <c r="AJ170" s="726"/>
      <c r="AK170" s="726"/>
      <c r="AL170" s="726"/>
      <c r="AM170" s="726"/>
      <c r="AN170" s="726"/>
      <c r="AO170" s="726"/>
      <c r="AP170" s="726"/>
      <c r="AQ170" s="726"/>
      <c r="AR170" s="726"/>
      <c r="AS170" s="726"/>
      <c r="AT170" s="726"/>
      <c r="AU170" s="726"/>
      <c r="AV170" s="726"/>
      <c r="AW170" s="726"/>
      <c r="AX170" s="726"/>
      <c r="AY170" s="726"/>
      <c r="AZ170" s="726"/>
      <c r="BA170" s="726"/>
      <c r="BB170" s="726"/>
      <c r="BC170" s="726"/>
      <c r="BD170" s="726"/>
      <c r="BE170" s="726"/>
      <c r="BF170" s="726"/>
      <c r="BG170" s="726"/>
    </row>
    <row r="171" spans="1:59" x14ac:dyDescent="0.25">
      <c r="A171" s="727" t="s">
        <v>239</v>
      </c>
      <c r="B171" s="728">
        <v>1922</v>
      </c>
      <c r="C171" s="725">
        <f t="shared" si="3"/>
        <v>119.98654022734993</v>
      </c>
      <c r="D171" s="92"/>
      <c r="E171" s="726"/>
      <c r="F171" s="726"/>
      <c r="G171" s="726"/>
      <c r="H171" s="726"/>
      <c r="I171" s="745"/>
      <c r="K171" s="726"/>
      <c r="L171" s="726"/>
      <c r="M171" s="726"/>
      <c r="N171" s="726"/>
      <c r="O171" s="726"/>
      <c r="P171" s="726"/>
      <c r="Q171" s="726"/>
      <c r="R171" s="726"/>
      <c r="S171" s="726"/>
      <c r="T171" s="726"/>
      <c r="U171" s="726"/>
      <c r="V171" s="726"/>
      <c r="W171" s="726"/>
      <c r="X171" s="726"/>
      <c r="Y171" s="726"/>
      <c r="Z171" s="726"/>
      <c r="AA171" s="726"/>
      <c r="AB171" s="726"/>
      <c r="AC171" s="726"/>
      <c r="AD171" s="726"/>
      <c r="AE171" s="726"/>
      <c r="AF171" s="726"/>
      <c r="AG171" s="726"/>
      <c r="AH171" s="726"/>
      <c r="AI171" s="726"/>
      <c r="AJ171" s="726"/>
      <c r="AK171" s="726"/>
      <c r="AL171" s="726"/>
      <c r="AM171" s="726"/>
      <c r="AN171" s="726"/>
      <c r="AO171" s="726"/>
      <c r="AP171" s="726"/>
      <c r="AQ171" s="726"/>
      <c r="AR171" s="726"/>
      <c r="AS171" s="726"/>
      <c r="AT171" s="726"/>
      <c r="AU171" s="726"/>
      <c r="AV171" s="726"/>
      <c r="AW171" s="726"/>
      <c r="AX171" s="726"/>
      <c r="AY171" s="726"/>
      <c r="AZ171" s="726"/>
      <c r="BA171" s="726"/>
      <c r="BB171" s="726"/>
      <c r="BC171" s="726"/>
      <c r="BD171" s="726"/>
      <c r="BE171" s="726"/>
      <c r="BF171" s="726"/>
      <c r="BG171" s="726"/>
    </row>
    <row r="172" spans="1:59" x14ac:dyDescent="0.25">
      <c r="A172" s="729" t="s">
        <v>240</v>
      </c>
      <c r="B172" s="730">
        <v>7609</v>
      </c>
      <c r="C172" s="725">
        <f t="shared" si="3"/>
        <v>475.01435202388427</v>
      </c>
      <c r="D172" s="92"/>
      <c r="E172" s="726"/>
      <c r="F172" s="726"/>
      <c r="G172" s="726"/>
      <c r="H172" s="726"/>
      <c r="I172" s="745"/>
      <c r="K172" s="726"/>
      <c r="L172" s="726"/>
      <c r="M172" s="726"/>
      <c r="N172" s="726"/>
      <c r="O172" s="726"/>
      <c r="P172" s="726"/>
      <c r="Q172" s="726"/>
      <c r="R172" s="726"/>
      <c r="S172" s="726"/>
      <c r="T172" s="726"/>
      <c r="U172" s="726"/>
      <c r="V172" s="726"/>
      <c r="W172" s="726"/>
      <c r="X172" s="726"/>
      <c r="Y172" s="726"/>
      <c r="Z172" s="726"/>
      <c r="AA172" s="726"/>
      <c r="AB172" s="726"/>
      <c r="AC172" s="726"/>
      <c r="AD172" s="726"/>
      <c r="AE172" s="726"/>
      <c r="AF172" s="726"/>
      <c r="AG172" s="726"/>
      <c r="AH172" s="726"/>
      <c r="AI172" s="726"/>
      <c r="AJ172" s="726"/>
      <c r="AK172" s="726"/>
      <c r="AL172" s="726"/>
      <c r="AM172" s="726"/>
      <c r="AN172" s="726"/>
      <c r="AO172" s="726"/>
      <c r="AP172" s="726"/>
      <c r="AQ172" s="726"/>
      <c r="AR172" s="726"/>
      <c r="AS172" s="726"/>
      <c r="AT172" s="726"/>
      <c r="AU172" s="726"/>
      <c r="AV172" s="726"/>
      <c r="AW172" s="726"/>
      <c r="AX172" s="726"/>
      <c r="AY172" s="726"/>
      <c r="AZ172" s="726"/>
      <c r="BA172" s="726"/>
      <c r="BB172" s="726"/>
      <c r="BC172" s="726"/>
      <c r="BD172" s="726"/>
      <c r="BE172" s="726"/>
      <c r="BF172" s="726"/>
      <c r="BG172" s="726"/>
    </row>
    <row r="173" spans="1:59" x14ac:dyDescent="0.25">
      <c r="A173" s="729" t="s">
        <v>241</v>
      </c>
      <c r="B173" s="730">
        <v>400</v>
      </c>
      <c r="C173" s="725">
        <f t="shared" si="3"/>
        <v>24.97118423045784</v>
      </c>
      <c r="D173" s="92"/>
      <c r="E173" s="726"/>
      <c r="F173" s="726"/>
      <c r="G173" s="726"/>
      <c r="H173" s="726"/>
      <c r="I173" s="745"/>
      <c r="K173" s="726"/>
      <c r="L173" s="726"/>
      <c r="M173" s="726"/>
      <c r="N173" s="726"/>
      <c r="O173" s="726"/>
      <c r="P173" s="726"/>
      <c r="Q173" s="726"/>
      <c r="R173" s="726"/>
      <c r="S173" s="726"/>
      <c r="T173" s="726"/>
      <c r="U173" s="726"/>
      <c r="V173" s="726"/>
      <c r="W173" s="726"/>
      <c r="X173" s="726"/>
      <c r="Y173" s="726"/>
      <c r="Z173" s="726"/>
      <c r="AA173" s="726"/>
      <c r="AB173" s="726"/>
      <c r="AC173" s="726"/>
      <c r="AD173" s="726"/>
      <c r="AE173" s="726"/>
      <c r="AF173" s="726"/>
      <c r="AG173" s="726"/>
      <c r="AH173" s="726"/>
      <c r="AI173" s="726"/>
      <c r="AJ173" s="726"/>
      <c r="AK173" s="726"/>
      <c r="AL173" s="726"/>
      <c r="AM173" s="726"/>
      <c r="AN173" s="726"/>
      <c r="AO173" s="726"/>
      <c r="AP173" s="726"/>
      <c r="AQ173" s="726"/>
      <c r="AR173" s="726"/>
      <c r="AS173" s="726"/>
      <c r="AT173" s="726"/>
      <c r="AU173" s="726"/>
      <c r="AV173" s="726"/>
      <c r="AW173" s="726"/>
      <c r="AX173" s="726"/>
      <c r="AY173" s="726"/>
      <c r="AZ173" s="726"/>
      <c r="BA173" s="726"/>
      <c r="BB173" s="726"/>
      <c r="BC173" s="726"/>
      <c r="BD173" s="726"/>
      <c r="BE173" s="726"/>
      <c r="BF173" s="726"/>
      <c r="BG173" s="726"/>
    </row>
    <row r="174" spans="1:59" x14ac:dyDescent="0.25">
      <c r="A174" s="719" t="s">
        <v>242</v>
      </c>
      <c r="B174" s="732">
        <v>1570</v>
      </c>
      <c r="C174" s="725">
        <f t="shared" si="3"/>
        <v>98.011898104547029</v>
      </c>
      <c r="D174" s="92"/>
      <c r="E174" s="726"/>
      <c r="F174" s="726"/>
      <c r="G174" s="726"/>
      <c r="H174" s="726"/>
      <c r="I174" s="745"/>
      <c r="K174" s="726"/>
      <c r="L174" s="726"/>
      <c r="M174" s="726"/>
      <c r="N174" s="726"/>
      <c r="O174" s="726"/>
      <c r="P174" s="726"/>
      <c r="Q174" s="726"/>
      <c r="R174" s="726"/>
      <c r="S174" s="726"/>
      <c r="T174" s="726"/>
      <c r="U174" s="726"/>
      <c r="V174" s="726"/>
      <c r="W174" s="726"/>
      <c r="X174" s="726"/>
      <c r="Y174" s="726"/>
      <c r="Z174" s="726"/>
      <c r="AA174" s="726"/>
      <c r="AB174" s="726"/>
      <c r="AC174" s="726"/>
      <c r="AD174" s="726"/>
      <c r="AE174" s="726"/>
      <c r="AF174" s="726"/>
      <c r="AG174" s="726"/>
      <c r="AH174" s="726"/>
      <c r="AI174" s="726"/>
      <c r="AJ174" s="726"/>
      <c r="AK174" s="726"/>
      <c r="AL174" s="726"/>
      <c r="AM174" s="726"/>
      <c r="AN174" s="726"/>
      <c r="AO174" s="726"/>
      <c r="AP174" s="726"/>
      <c r="AQ174" s="726"/>
      <c r="AR174" s="726"/>
      <c r="AS174" s="726"/>
      <c r="AT174" s="726"/>
      <c r="AU174" s="726"/>
      <c r="AV174" s="726"/>
      <c r="AW174" s="726"/>
      <c r="AX174" s="726"/>
      <c r="AY174" s="726"/>
      <c r="AZ174" s="726"/>
      <c r="BA174" s="726"/>
      <c r="BB174" s="726"/>
      <c r="BC174" s="726"/>
      <c r="BD174" s="726"/>
      <c r="BE174" s="726"/>
      <c r="BF174" s="726"/>
      <c r="BG174" s="726"/>
    </row>
    <row r="175" spans="1:59" x14ac:dyDescent="0.25">
      <c r="A175" s="616" t="s">
        <v>243</v>
      </c>
      <c r="B175" s="728">
        <v>2563</v>
      </c>
      <c r="C175" s="725">
        <f t="shared" si="3"/>
        <v>160.00286295665862</v>
      </c>
      <c r="D175" s="92"/>
      <c r="E175" s="726"/>
      <c r="F175" s="726"/>
      <c r="G175" s="726"/>
      <c r="H175" s="726"/>
      <c r="I175" s="745"/>
      <c r="K175" s="726"/>
      <c r="L175" s="726"/>
      <c r="M175" s="726"/>
      <c r="N175" s="726"/>
      <c r="O175" s="726"/>
      <c r="P175" s="726"/>
      <c r="Q175" s="726"/>
      <c r="R175" s="726"/>
      <c r="S175" s="726"/>
      <c r="T175" s="726"/>
      <c r="U175" s="726"/>
      <c r="V175" s="726"/>
      <c r="W175" s="726"/>
      <c r="X175" s="726"/>
      <c r="Y175" s="726"/>
      <c r="Z175" s="726"/>
      <c r="AA175" s="726"/>
      <c r="AB175" s="726"/>
      <c r="AC175" s="726"/>
      <c r="AD175" s="726"/>
      <c r="AE175" s="726"/>
      <c r="AF175" s="726"/>
      <c r="AG175" s="726"/>
      <c r="AH175" s="726"/>
      <c r="AI175" s="726"/>
      <c r="AJ175" s="726"/>
      <c r="AK175" s="726"/>
      <c r="AL175" s="726"/>
      <c r="AM175" s="726"/>
      <c r="AN175" s="726"/>
      <c r="AO175" s="726"/>
      <c r="AP175" s="726"/>
      <c r="AQ175" s="726"/>
      <c r="AR175" s="726"/>
      <c r="AS175" s="726"/>
      <c r="AT175" s="726"/>
      <c r="AU175" s="726"/>
      <c r="AV175" s="726"/>
      <c r="AW175" s="726"/>
      <c r="AX175" s="726"/>
      <c r="AY175" s="726"/>
      <c r="AZ175" s="726"/>
      <c r="BA175" s="726"/>
      <c r="BB175" s="726"/>
      <c r="BC175" s="726"/>
      <c r="BD175" s="726"/>
      <c r="BE175" s="726"/>
      <c r="BF175" s="726"/>
      <c r="BG175" s="726"/>
    </row>
    <row r="176" spans="1:59" x14ac:dyDescent="0.25">
      <c r="A176" s="727" t="s">
        <v>244</v>
      </c>
      <c r="B176" s="728">
        <v>2243</v>
      </c>
      <c r="C176" s="725">
        <f t="shared" si="3"/>
        <v>140.02591557229235</v>
      </c>
      <c r="D176" s="92"/>
      <c r="E176" s="726"/>
      <c r="F176" s="726"/>
      <c r="G176" s="726"/>
      <c r="H176" s="726"/>
      <c r="I176" s="745"/>
      <c r="K176" s="726"/>
      <c r="L176" s="726"/>
      <c r="M176" s="726"/>
      <c r="N176" s="726"/>
      <c r="O176" s="726"/>
      <c r="P176" s="726"/>
      <c r="Q176" s="726"/>
      <c r="R176" s="726"/>
      <c r="S176" s="726"/>
      <c r="T176" s="726"/>
      <c r="U176" s="726"/>
      <c r="V176" s="726"/>
      <c r="W176" s="726"/>
      <c r="X176" s="726"/>
      <c r="Y176" s="726"/>
      <c r="Z176" s="726"/>
      <c r="AA176" s="726"/>
      <c r="AB176" s="726"/>
      <c r="AC176" s="726"/>
      <c r="AD176" s="726"/>
      <c r="AE176" s="726"/>
      <c r="AF176" s="726"/>
      <c r="AG176" s="726"/>
      <c r="AH176" s="726"/>
      <c r="AI176" s="726"/>
      <c r="AJ176" s="726"/>
      <c r="AK176" s="726"/>
      <c r="AL176" s="726"/>
      <c r="AM176" s="726"/>
      <c r="AN176" s="726"/>
      <c r="AO176" s="726"/>
      <c r="AP176" s="726"/>
      <c r="AQ176" s="726"/>
      <c r="AR176" s="726"/>
      <c r="AS176" s="726"/>
      <c r="AT176" s="726"/>
      <c r="AU176" s="726"/>
      <c r="AV176" s="726"/>
      <c r="AW176" s="726"/>
      <c r="AX176" s="726"/>
      <c r="AY176" s="726"/>
      <c r="AZ176" s="726"/>
      <c r="BA176" s="726"/>
      <c r="BB176" s="726"/>
      <c r="BC176" s="726"/>
      <c r="BD176" s="726"/>
      <c r="BE176" s="726"/>
      <c r="BF176" s="726"/>
      <c r="BG176" s="726"/>
    </row>
    <row r="177" spans="1:59" x14ac:dyDescent="0.25">
      <c r="A177" s="727" t="s">
        <v>84</v>
      </c>
      <c r="B177" s="728">
        <v>2139</v>
      </c>
      <c r="C177" s="725">
        <f t="shared" si="3"/>
        <v>133.5334076723733</v>
      </c>
      <c r="D177" s="92"/>
      <c r="E177" s="726"/>
      <c r="F177" s="726"/>
      <c r="G177" s="726"/>
      <c r="H177" s="726"/>
      <c r="I177" s="745"/>
      <c r="K177" s="726"/>
      <c r="L177" s="726"/>
      <c r="M177" s="726"/>
      <c r="N177" s="726"/>
      <c r="O177" s="726"/>
      <c r="P177" s="726"/>
      <c r="Q177" s="726"/>
      <c r="R177" s="726"/>
      <c r="S177" s="726"/>
      <c r="T177" s="726"/>
      <c r="U177" s="726"/>
      <c r="V177" s="726"/>
      <c r="W177" s="726"/>
      <c r="X177" s="726"/>
      <c r="Y177" s="726"/>
      <c r="Z177" s="726"/>
      <c r="AA177" s="726"/>
      <c r="AB177" s="726"/>
      <c r="AC177" s="726"/>
      <c r="AD177" s="726"/>
      <c r="AE177" s="726"/>
      <c r="AF177" s="726"/>
      <c r="AG177" s="726"/>
      <c r="AH177" s="726"/>
      <c r="AI177" s="726"/>
      <c r="AJ177" s="726"/>
      <c r="AK177" s="726"/>
      <c r="AL177" s="726"/>
      <c r="AM177" s="726"/>
      <c r="AN177" s="726"/>
      <c r="AO177" s="726"/>
      <c r="AP177" s="726"/>
      <c r="AQ177" s="726"/>
      <c r="AR177" s="726"/>
      <c r="AS177" s="726"/>
      <c r="AT177" s="726"/>
      <c r="AU177" s="726"/>
      <c r="AV177" s="726"/>
      <c r="AW177" s="726"/>
      <c r="AX177" s="726"/>
      <c r="AY177" s="726"/>
      <c r="AZ177" s="726"/>
      <c r="BA177" s="726"/>
      <c r="BB177" s="726"/>
      <c r="BC177" s="726"/>
      <c r="BD177" s="726"/>
      <c r="BE177" s="726"/>
      <c r="BF177" s="726"/>
      <c r="BG177" s="726"/>
    </row>
    <row r="178" spans="1:59" x14ac:dyDescent="0.25">
      <c r="A178" s="729" t="s">
        <v>55</v>
      </c>
      <c r="B178" s="730">
        <v>750</v>
      </c>
      <c r="C178" s="725">
        <f t="shared" si="3"/>
        <v>46.820970432108453</v>
      </c>
      <c r="D178" s="92">
        <v>4</v>
      </c>
      <c r="E178" s="726"/>
      <c r="F178" s="726"/>
      <c r="G178" s="726"/>
      <c r="H178" s="726"/>
      <c r="I178" s="745"/>
      <c r="K178" s="726"/>
      <c r="L178" s="726"/>
      <c r="M178" s="726"/>
      <c r="N178" s="726"/>
      <c r="O178" s="726"/>
      <c r="P178" s="726"/>
      <c r="Q178" s="726"/>
      <c r="R178" s="726"/>
      <c r="S178" s="726"/>
      <c r="T178" s="726"/>
      <c r="U178" s="726"/>
      <c r="V178" s="726"/>
      <c r="W178" s="726"/>
      <c r="X178" s="726"/>
      <c r="Y178" s="726"/>
      <c r="Z178" s="726"/>
      <c r="AA178" s="726"/>
      <c r="AB178" s="726"/>
      <c r="AC178" s="726"/>
      <c r="AD178" s="726"/>
      <c r="AE178" s="726"/>
      <c r="AF178" s="726"/>
      <c r="AG178" s="726"/>
      <c r="AH178" s="726"/>
      <c r="AI178" s="726"/>
      <c r="AJ178" s="726"/>
      <c r="AK178" s="726"/>
      <c r="AL178" s="726"/>
      <c r="AM178" s="726"/>
      <c r="AN178" s="726"/>
      <c r="AO178" s="726"/>
      <c r="AP178" s="726"/>
      <c r="AQ178" s="726"/>
      <c r="AR178" s="726"/>
      <c r="AS178" s="726"/>
      <c r="AT178" s="726"/>
      <c r="AU178" s="726"/>
      <c r="AV178" s="726"/>
      <c r="AW178" s="726"/>
      <c r="AX178" s="726"/>
      <c r="AY178" s="726"/>
      <c r="AZ178" s="726"/>
      <c r="BA178" s="726"/>
      <c r="BB178" s="726"/>
      <c r="BC178" s="726"/>
      <c r="BD178" s="726"/>
      <c r="BE178" s="726"/>
      <c r="BF178" s="726"/>
      <c r="BG178" s="726"/>
    </row>
    <row r="179" spans="1:59" x14ac:dyDescent="0.25">
      <c r="A179" s="727" t="s">
        <v>245</v>
      </c>
      <c r="B179" s="728">
        <v>520</v>
      </c>
      <c r="C179" s="725">
        <f t="shared" si="3"/>
        <v>32.462539499595188</v>
      </c>
      <c r="D179" s="92"/>
      <c r="E179" s="726"/>
      <c r="F179" s="726"/>
      <c r="G179" s="726"/>
      <c r="H179" s="726"/>
      <c r="I179" s="745"/>
      <c r="K179" s="726"/>
      <c r="L179" s="726"/>
      <c r="M179" s="726"/>
      <c r="N179" s="726"/>
      <c r="O179" s="726"/>
      <c r="P179" s="726"/>
      <c r="Q179" s="726"/>
      <c r="R179" s="726"/>
      <c r="S179" s="726"/>
      <c r="T179" s="726"/>
      <c r="U179" s="726"/>
      <c r="V179" s="726"/>
      <c r="W179" s="726"/>
      <c r="X179" s="726"/>
      <c r="Y179" s="726"/>
      <c r="Z179" s="726"/>
      <c r="AA179" s="726"/>
      <c r="AB179" s="726"/>
      <c r="AC179" s="726"/>
      <c r="AD179" s="726"/>
      <c r="AE179" s="726"/>
      <c r="AF179" s="726"/>
      <c r="AG179" s="726"/>
      <c r="AH179" s="726"/>
      <c r="AI179" s="726"/>
      <c r="AJ179" s="726"/>
      <c r="AK179" s="726"/>
      <c r="AL179" s="726"/>
      <c r="AM179" s="726"/>
      <c r="AN179" s="726"/>
      <c r="AO179" s="726"/>
      <c r="AP179" s="726"/>
      <c r="AQ179" s="726"/>
      <c r="AR179" s="726"/>
      <c r="AS179" s="726"/>
      <c r="AT179" s="726"/>
      <c r="AU179" s="726"/>
      <c r="AV179" s="726"/>
      <c r="AW179" s="726"/>
      <c r="AX179" s="726"/>
      <c r="AY179" s="726"/>
      <c r="AZ179" s="726"/>
      <c r="BA179" s="726"/>
      <c r="BB179" s="726"/>
      <c r="BC179" s="726"/>
      <c r="BD179" s="726"/>
      <c r="BE179" s="726"/>
      <c r="BF179" s="726"/>
      <c r="BG179" s="726"/>
    </row>
    <row r="180" spans="1:59" x14ac:dyDescent="0.25">
      <c r="A180" s="727" t="s">
        <v>246</v>
      </c>
      <c r="B180" s="728">
        <v>986</v>
      </c>
      <c r="C180" s="725">
        <f t="shared" si="3"/>
        <v>61.553969128078577</v>
      </c>
      <c r="D180" s="92"/>
      <c r="E180" s="726"/>
      <c r="F180" s="726"/>
      <c r="G180" s="726"/>
      <c r="H180" s="726"/>
      <c r="I180" s="745"/>
      <c r="K180" s="726"/>
      <c r="L180" s="726"/>
      <c r="M180" s="726"/>
      <c r="N180" s="726"/>
      <c r="O180" s="726"/>
      <c r="P180" s="726"/>
      <c r="Q180" s="726"/>
      <c r="R180" s="726"/>
      <c r="S180" s="726"/>
      <c r="T180" s="726"/>
      <c r="U180" s="726"/>
      <c r="V180" s="726"/>
      <c r="W180" s="726"/>
      <c r="X180" s="726"/>
      <c r="Y180" s="726"/>
      <c r="Z180" s="726"/>
      <c r="AA180" s="726"/>
      <c r="AB180" s="726"/>
      <c r="AC180" s="726"/>
      <c r="AD180" s="726"/>
      <c r="AE180" s="726"/>
      <c r="AF180" s="726"/>
      <c r="AG180" s="726"/>
      <c r="AH180" s="726"/>
      <c r="AI180" s="726"/>
      <c r="AJ180" s="726"/>
      <c r="AK180" s="726"/>
      <c r="AL180" s="726"/>
      <c r="AM180" s="726"/>
      <c r="AN180" s="726"/>
      <c r="AO180" s="726"/>
      <c r="AP180" s="726"/>
      <c r="AQ180" s="726"/>
      <c r="AR180" s="726"/>
      <c r="AS180" s="726"/>
      <c r="AT180" s="726"/>
      <c r="AU180" s="726"/>
      <c r="AV180" s="726"/>
      <c r="AW180" s="726"/>
      <c r="AX180" s="726"/>
      <c r="AY180" s="726"/>
      <c r="AZ180" s="726"/>
      <c r="BA180" s="726"/>
      <c r="BB180" s="726"/>
      <c r="BC180" s="726"/>
      <c r="BD180" s="726"/>
      <c r="BE180" s="726"/>
      <c r="BF180" s="726"/>
      <c r="BG180" s="726"/>
    </row>
    <row r="181" spans="1:59" x14ac:dyDescent="0.25">
      <c r="A181" s="727" t="s">
        <v>247</v>
      </c>
      <c r="B181" s="728">
        <v>1602</v>
      </c>
      <c r="C181" s="725">
        <f t="shared" si="3"/>
        <v>100.00959284298365</v>
      </c>
      <c r="D181" s="92"/>
      <c r="E181" s="726"/>
      <c r="F181" s="726"/>
      <c r="G181" s="726"/>
      <c r="H181" s="726"/>
      <c r="I181" s="745"/>
      <c r="K181" s="726"/>
      <c r="L181" s="726"/>
      <c r="M181" s="726"/>
      <c r="N181" s="726"/>
      <c r="O181" s="726"/>
      <c r="P181" s="726"/>
      <c r="Q181" s="726"/>
      <c r="R181" s="726"/>
      <c r="S181" s="726"/>
      <c r="T181" s="726"/>
      <c r="U181" s="726"/>
      <c r="V181" s="726"/>
      <c r="W181" s="726"/>
      <c r="X181" s="726"/>
      <c r="Y181" s="726"/>
      <c r="Z181" s="726"/>
      <c r="AA181" s="726"/>
      <c r="AB181" s="726"/>
      <c r="AC181" s="726"/>
      <c r="AD181" s="726"/>
      <c r="AE181" s="726"/>
      <c r="AF181" s="726"/>
      <c r="AG181" s="726"/>
      <c r="AH181" s="726"/>
      <c r="AI181" s="726"/>
      <c r="AJ181" s="726"/>
      <c r="AK181" s="726"/>
      <c r="AL181" s="726"/>
      <c r="AM181" s="726"/>
      <c r="AN181" s="726"/>
      <c r="AO181" s="726"/>
      <c r="AP181" s="726"/>
      <c r="AQ181" s="726"/>
      <c r="AR181" s="726"/>
      <c r="AS181" s="726"/>
      <c r="AT181" s="726"/>
      <c r="AU181" s="726"/>
      <c r="AV181" s="726"/>
      <c r="AW181" s="726"/>
      <c r="AX181" s="726"/>
      <c r="AY181" s="726"/>
      <c r="AZ181" s="726"/>
      <c r="BA181" s="726"/>
      <c r="BB181" s="726"/>
      <c r="BC181" s="726"/>
      <c r="BD181" s="726"/>
      <c r="BE181" s="726"/>
      <c r="BF181" s="726"/>
      <c r="BG181" s="726"/>
    </row>
    <row r="182" spans="1:59" x14ac:dyDescent="0.25">
      <c r="A182" s="727" t="s">
        <v>248</v>
      </c>
      <c r="B182" s="728">
        <v>2883</v>
      </c>
      <c r="C182" s="725">
        <f t="shared" si="3"/>
        <v>179.97981034102489</v>
      </c>
      <c r="D182" s="92"/>
      <c r="E182" s="726"/>
      <c r="F182" s="726"/>
      <c r="G182" s="726"/>
      <c r="H182" s="726"/>
      <c r="I182" s="745"/>
      <c r="K182" s="726"/>
      <c r="L182" s="726"/>
      <c r="M182" s="726"/>
      <c r="N182" s="726"/>
      <c r="O182" s="726"/>
      <c r="P182" s="726"/>
      <c r="Q182" s="726"/>
      <c r="R182" s="726"/>
      <c r="S182" s="726"/>
      <c r="T182" s="726"/>
      <c r="U182" s="726"/>
      <c r="V182" s="726"/>
      <c r="W182" s="726"/>
      <c r="X182" s="726"/>
      <c r="Y182" s="726"/>
      <c r="Z182" s="726"/>
      <c r="AA182" s="726"/>
      <c r="AB182" s="726"/>
      <c r="AC182" s="726"/>
      <c r="AD182" s="726"/>
      <c r="AE182" s="726"/>
      <c r="AF182" s="726"/>
      <c r="AG182" s="726"/>
      <c r="AH182" s="726"/>
      <c r="AI182" s="726"/>
      <c r="AJ182" s="726"/>
      <c r="AK182" s="726"/>
      <c r="AL182" s="726"/>
      <c r="AM182" s="726"/>
      <c r="AN182" s="726"/>
      <c r="AO182" s="726"/>
      <c r="AP182" s="726"/>
      <c r="AQ182" s="726"/>
      <c r="AR182" s="726"/>
      <c r="AS182" s="726"/>
      <c r="AT182" s="726"/>
      <c r="AU182" s="726"/>
      <c r="AV182" s="726"/>
      <c r="AW182" s="726"/>
      <c r="AX182" s="726"/>
      <c r="AY182" s="726"/>
      <c r="AZ182" s="726"/>
      <c r="BA182" s="726"/>
      <c r="BB182" s="726"/>
      <c r="BC182" s="726"/>
      <c r="BD182" s="726"/>
      <c r="BE182" s="726"/>
      <c r="BF182" s="726"/>
      <c r="BG182" s="726"/>
    </row>
    <row r="183" spans="1:59" x14ac:dyDescent="0.25">
      <c r="A183" s="727" t="s">
        <v>249</v>
      </c>
      <c r="B183" s="728">
        <v>449</v>
      </c>
      <c r="C183" s="725">
        <f t="shared" si="3"/>
        <v>28.030154298688927</v>
      </c>
      <c r="D183" s="92"/>
      <c r="E183" s="726"/>
      <c r="F183" s="726"/>
      <c r="G183" s="726"/>
      <c r="H183" s="726"/>
      <c r="I183" s="745"/>
      <c r="K183" s="726"/>
      <c r="L183" s="726"/>
      <c r="M183" s="726"/>
      <c r="N183" s="726"/>
      <c r="O183" s="726"/>
      <c r="P183" s="726"/>
      <c r="Q183" s="726"/>
      <c r="R183" s="726"/>
      <c r="S183" s="726"/>
      <c r="T183" s="726"/>
      <c r="U183" s="726"/>
      <c r="V183" s="726"/>
      <c r="W183" s="726"/>
      <c r="X183" s="726"/>
      <c r="Y183" s="726"/>
      <c r="Z183" s="726"/>
      <c r="AA183" s="726"/>
      <c r="AB183" s="726"/>
      <c r="AC183" s="726"/>
      <c r="AD183" s="726"/>
      <c r="AE183" s="726"/>
      <c r="AF183" s="726"/>
      <c r="AG183" s="726"/>
      <c r="AH183" s="726"/>
      <c r="AI183" s="726"/>
      <c r="AJ183" s="726"/>
      <c r="AK183" s="726"/>
      <c r="AL183" s="726"/>
      <c r="AM183" s="726"/>
      <c r="AN183" s="726"/>
      <c r="AO183" s="726"/>
      <c r="AP183" s="726"/>
      <c r="AQ183" s="726"/>
      <c r="AR183" s="726"/>
      <c r="AS183" s="726"/>
      <c r="AT183" s="726"/>
      <c r="AU183" s="726"/>
      <c r="AV183" s="726"/>
      <c r="AW183" s="726"/>
      <c r="AX183" s="726"/>
      <c r="AY183" s="726"/>
      <c r="AZ183" s="726"/>
      <c r="BA183" s="726"/>
      <c r="BB183" s="726"/>
      <c r="BC183" s="726"/>
      <c r="BD183" s="726"/>
      <c r="BE183" s="726"/>
      <c r="BF183" s="726"/>
      <c r="BG183" s="726"/>
    </row>
    <row r="184" spans="1:59" x14ac:dyDescent="0.25">
      <c r="A184" s="729" t="s">
        <v>250</v>
      </c>
      <c r="B184" s="730">
        <v>1600</v>
      </c>
      <c r="C184" s="725">
        <f t="shared" si="3"/>
        <v>99.884736921831362</v>
      </c>
      <c r="D184" s="92"/>
      <c r="E184" s="726"/>
      <c r="F184" s="726"/>
      <c r="G184" s="726"/>
      <c r="H184" s="726"/>
      <c r="I184" s="745"/>
      <c r="K184" s="726"/>
      <c r="L184" s="726"/>
      <c r="M184" s="726"/>
      <c r="N184" s="726"/>
      <c r="O184" s="726"/>
      <c r="P184" s="726"/>
      <c r="Q184" s="726"/>
      <c r="R184" s="726"/>
      <c r="S184" s="726"/>
      <c r="T184" s="726"/>
      <c r="U184" s="726"/>
      <c r="V184" s="726"/>
      <c r="W184" s="726"/>
      <c r="X184" s="726"/>
      <c r="Y184" s="726"/>
      <c r="Z184" s="726"/>
      <c r="AA184" s="726"/>
      <c r="AB184" s="726"/>
      <c r="AC184" s="726"/>
      <c r="AD184" s="726"/>
      <c r="AE184" s="726"/>
      <c r="AF184" s="726"/>
      <c r="AG184" s="726"/>
      <c r="AH184" s="726"/>
      <c r="AI184" s="726"/>
      <c r="AJ184" s="726"/>
      <c r="AK184" s="726"/>
      <c r="AL184" s="726"/>
      <c r="AM184" s="726"/>
      <c r="AN184" s="726"/>
      <c r="AO184" s="726"/>
      <c r="AP184" s="726"/>
      <c r="AQ184" s="726"/>
      <c r="AR184" s="726"/>
      <c r="AS184" s="726"/>
      <c r="AT184" s="726"/>
      <c r="AU184" s="726"/>
      <c r="AV184" s="726"/>
      <c r="AW184" s="726"/>
      <c r="AX184" s="726"/>
      <c r="AY184" s="726"/>
      <c r="AZ184" s="726"/>
      <c r="BA184" s="726"/>
      <c r="BB184" s="726"/>
      <c r="BC184" s="726"/>
      <c r="BD184" s="726"/>
      <c r="BE184" s="726"/>
      <c r="BF184" s="726"/>
      <c r="BG184" s="726"/>
    </row>
    <row r="185" spans="1:59" x14ac:dyDescent="0.25">
      <c r="A185" s="727" t="s">
        <v>251</v>
      </c>
      <c r="B185" s="728">
        <v>2403</v>
      </c>
      <c r="C185" s="725">
        <f t="shared" si="3"/>
        <v>150.01438926447548</v>
      </c>
      <c r="D185" s="92"/>
      <c r="E185" s="726"/>
      <c r="F185" s="726"/>
      <c r="G185" s="726"/>
      <c r="H185" s="726"/>
      <c r="I185" s="745"/>
      <c r="K185" s="726"/>
      <c r="L185" s="726"/>
      <c r="M185" s="726"/>
      <c r="N185" s="726"/>
      <c r="O185" s="726"/>
      <c r="P185" s="726"/>
      <c r="Q185" s="726"/>
      <c r="R185" s="726"/>
      <c r="S185" s="726"/>
      <c r="T185" s="726"/>
      <c r="U185" s="726"/>
      <c r="V185" s="726"/>
      <c r="W185" s="726"/>
      <c r="X185" s="726"/>
      <c r="Y185" s="726"/>
      <c r="Z185" s="726"/>
      <c r="AA185" s="726"/>
      <c r="AB185" s="726"/>
      <c r="AC185" s="726"/>
      <c r="AD185" s="726"/>
      <c r="AE185" s="726"/>
      <c r="AF185" s="726"/>
      <c r="AG185" s="726"/>
      <c r="AH185" s="726"/>
      <c r="AI185" s="726"/>
      <c r="AJ185" s="726"/>
      <c r="AK185" s="726"/>
      <c r="AL185" s="726"/>
      <c r="AM185" s="726"/>
      <c r="AN185" s="726"/>
      <c r="AO185" s="726"/>
      <c r="AP185" s="726"/>
      <c r="AQ185" s="726"/>
      <c r="AR185" s="726"/>
      <c r="AS185" s="726"/>
      <c r="AT185" s="726"/>
      <c r="AU185" s="726"/>
      <c r="AV185" s="726"/>
      <c r="AW185" s="726"/>
      <c r="AX185" s="726"/>
      <c r="AY185" s="726"/>
      <c r="AZ185" s="726"/>
      <c r="BA185" s="726"/>
      <c r="BB185" s="726"/>
      <c r="BC185" s="726"/>
      <c r="BD185" s="726"/>
      <c r="BE185" s="726"/>
      <c r="BF185" s="726"/>
      <c r="BG185" s="726"/>
    </row>
    <row r="186" spans="1:59" x14ac:dyDescent="0.25">
      <c r="A186" s="729" t="s">
        <v>252</v>
      </c>
      <c r="B186" s="730">
        <v>1730</v>
      </c>
      <c r="C186" s="725">
        <f t="shared" si="3"/>
        <v>108.00037179673016</v>
      </c>
      <c r="D186" s="92"/>
      <c r="E186" s="726"/>
      <c r="F186" s="726"/>
      <c r="G186" s="726"/>
      <c r="H186" s="726"/>
      <c r="I186" s="745"/>
      <c r="K186" s="726"/>
      <c r="L186" s="726"/>
      <c r="M186" s="726"/>
      <c r="N186" s="726"/>
      <c r="O186" s="726"/>
      <c r="P186" s="726"/>
      <c r="Q186" s="726"/>
      <c r="R186" s="726"/>
      <c r="S186" s="726"/>
      <c r="T186" s="726"/>
      <c r="U186" s="726"/>
      <c r="V186" s="726"/>
      <c r="W186" s="726"/>
      <c r="X186" s="726"/>
      <c r="Y186" s="726"/>
      <c r="Z186" s="726"/>
      <c r="AA186" s="726"/>
      <c r="AB186" s="726"/>
      <c r="AC186" s="726"/>
      <c r="AD186" s="726"/>
      <c r="AE186" s="726"/>
      <c r="AF186" s="726"/>
      <c r="AG186" s="726"/>
      <c r="AH186" s="726"/>
      <c r="AI186" s="726"/>
      <c r="AJ186" s="726"/>
      <c r="AK186" s="726"/>
      <c r="AL186" s="726"/>
      <c r="AM186" s="726"/>
      <c r="AN186" s="726"/>
      <c r="AO186" s="726"/>
      <c r="AP186" s="726"/>
      <c r="AQ186" s="726"/>
      <c r="AR186" s="726"/>
      <c r="AS186" s="726"/>
      <c r="AT186" s="726"/>
      <c r="AU186" s="726"/>
      <c r="AV186" s="726"/>
      <c r="AW186" s="726"/>
      <c r="AX186" s="726"/>
      <c r="AY186" s="726"/>
      <c r="AZ186" s="726"/>
      <c r="BA186" s="726"/>
      <c r="BB186" s="726"/>
      <c r="BC186" s="726"/>
      <c r="BD186" s="726"/>
      <c r="BE186" s="726"/>
      <c r="BF186" s="726"/>
      <c r="BG186" s="726"/>
    </row>
    <row r="187" spans="1:59" x14ac:dyDescent="0.25">
      <c r="A187" s="727" t="s">
        <v>253</v>
      </c>
      <c r="B187" s="728">
        <v>1906</v>
      </c>
      <c r="C187" s="725">
        <f t="shared" si="3"/>
        <v>118.98769285813162</v>
      </c>
      <c r="D187" s="92"/>
      <c r="E187" s="726"/>
      <c r="F187" s="726"/>
      <c r="G187" s="726"/>
      <c r="H187" s="726"/>
      <c r="I187" s="745"/>
      <c r="K187" s="726"/>
      <c r="L187" s="726"/>
      <c r="M187" s="726"/>
      <c r="N187" s="726"/>
      <c r="O187" s="726"/>
      <c r="P187" s="726"/>
      <c r="Q187" s="726"/>
      <c r="R187" s="726"/>
      <c r="S187" s="726"/>
      <c r="T187" s="726"/>
      <c r="U187" s="726"/>
      <c r="V187" s="726"/>
      <c r="W187" s="726"/>
      <c r="X187" s="726"/>
      <c r="Y187" s="726"/>
      <c r="Z187" s="726"/>
      <c r="AA187" s="726"/>
      <c r="AB187" s="726"/>
      <c r="AC187" s="726"/>
      <c r="AD187" s="726"/>
      <c r="AE187" s="726"/>
      <c r="AF187" s="726"/>
      <c r="AG187" s="726"/>
      <c r="AH187" s="726"/>
      <c r="AI187" s="726"/>
      <c r="AJ187" s="726"/>
      <c r="AK187" s="726"/>
      <c r="AL187" s="726"/>
      <c r="AM187" s="726"/>
      <c r="AN187" s="726"/>
      <c r="AO187" s="726"/>
      <c r="AP187" s="726"/>
      <c r="AQ187" s="726"/>
      <c r="AR187" s="726"/>
      <c r="AS187" s="726"/>
      <c r="AT187" s="726"/>
      <c r="AU187" s="726"/>
      <c r="AV187" s="726"/>
      <c r="AW187" s="726"/>
      <c r="AX187" s="726"/>
      <c r="AY187" s="726"/>
      <c r="AZ187" s="726"/>
      <c r="BA187" s="726"/>
      <c r="BB187" s="726"/>
      <c r="BC187" s="726"/>
      <c r="BD187" s="726"/>
      <c r="BE187" s="726"/>
      <c r="BF187" s="726"/>
      <c r="BG187" s="726"/>
    </row>
    <row r="188" spans="1:59" x14ac:dyDescent="0.25">
      <c r="A188" s="727" t="s">
        <v>254</v>
      </c>
      <c r="B188" s="728">
        <v>1600</v>
      </c>
      <c r="C188" s="725">
        <f t="shared" si="3"/>
        <v>99.884736921831362</v>
      </c>
      <c r="D188" s="92"/>
      <c r="E188" s="726"/>
      <c r="F188" s="726"/>
      <c r="G188" s="726"/>
      <c r="H188" s="726"/>
      <c r="I188" s="745"/>
      <c r="K188" s="726"/>
      <c r="L188" s="726"/>
      <c r="M188" s="726"/>
      <c r="N188" s="726"/>
      <c r="O188" s="726"/>
      <c r="P188" s="726"/>
      <c r="Q188" s="726"/>
      <c r="R188" s="726"/>
      <c r="S188" s="726"/>
      <c r="T188" s="726"/>
      <c r="U188" s="726"/>
      <c r="V188" s="726"/>
      <c r="W188" s="726"/>
      <c r="X188" s="726"/>
      <c r="Y188" s="726"/>
      <c r="Z188" s="726"/>
      <c r="AA188" s="726"/>
      <c r="AB188" s="726"/>
      <c r="AC188" s="726"/>
      <c r="AD188" s="726"/>
      <c r="AE188" s="726"/>
      <c r="AF188" s="726"/>
      <c r="AG188" s="726"/>
      <c r="AH188" s="726"/>
      <c r="AI188" s="726"/>
      <c r="AJ188" s="726"/>
      <c r="AK188" s="726"/>
      <c r="AL188" s="726"/>
      <c r="AM188" s="726"/>
      <c r="AN188" s="726"/>
      <c r="AO188" s="726"/>
      <c r="AP188" s="726"/>
      <c r="AQ188" s="726"/>
      <c r="AR188" s="726"/>
      <c r="AS188" s="726"/>
      <c r="AT188" s="726"/>
      <c r="AU188" s="726"/>
      <c r="AV188" s="726"/>
      <c r="AW188" s="726"/>
      <c r="AX188" s="726"/>
      <c r="AY188" s="726"/>
      <c r="AZ188" s="726"/>
      <c r="BA188" s="726"/>
      <c r="BB188" s="726"/>
      <c r="BC188" s="726"/>
      <c r="BD188" s="726"/>
      <c r="BE188" s="726"/>
      <c r="BF188" s="726"/>
      <c r="BG188" s="726"/>
    </row>
    <row r="189" spans="1:59" x14ac:dyDescent="0.25">
      <c r="A189" s="719" t="s">
        <v>255</v>
      </c>
      <c r="B189" s="732">
        <v>8442</v>
      </c>
      <c r="C189" s="725">
        <f t="shared" si="3"/>
        <v>527.01684318381274</v>
      </c>
      <c r="D189" s="92"/>
      <c r="E189" s="726"/>
      <c r="F189" s="726"/>
      <c r="G189" s="726"/>
      <c r="H189" s="726"/>
      <c r="I189" s="745"/>
      <c r="K189" s="726"/>
      <c r="L189" s="726"/>
      <c r="M189" s="726"/>
      <c r="N189" s="726"/>
      <c r="O189" s="726"/>
      <c r="P189" s="726"/>
      <c r="Q189" s="726"/>
      <c r="R189" s="726"/>
      <c r="S189" s="726"/>
      <c r="T189" s="726"/>
      <c r="U189" s="726"/>
      <c r="V189" s="726"/>
      <c r="W189" s="726"/>
      <c r="X189" s="726"/>
      <c r="Y189" s="726"/>
      <c r="Z189" s="726"/>
      <c r="AA189" s="726"/>
      <c r="AB189" s="726"/>
      <c r="AC189" s="726"/>
      <c r="AD189" s="726"/>
      <c r="AE189" s="726"/>
      <c r="AF189" s="726"/>
      <c r="AG189" s="726"/>
      <c r="AH189" s="726"/>
      <c r="AI189" s="726"/>
      <c r="AJ189" s="726"/>
      <c r="AK189" s="726"/>
      <c r="AL189" s="726"/>
      <c r="AM189" s="726"/>
      <c r="AN189" s="726"/>
      <c r="AO189" s="726"/>
      <c r="AP189" s="726"/>
      <c r="AQ189" s="726"/>
      <c r="AR189" s="726"/>
      <c r="AS189" s="726"/>
      <c r="AT189" s="726"/>
      <c r="AU189" s="726"/>
      <c r="AV189" s="726"/>
      <c r="AW189" s="726"/>
      <c r="AX189" s="726"/>
      <c r="AY189" s="726"/>
      <c r="AZ189" s="726"/>
      <c r="BA189" s="726"/>
      <c r="BB189" s="726"/>
      <c r="BC189" s="726"/>
      <c r="BD189" s="726"/>
      <c r="BE189" s="726"/>
      <c r="BF189" s="726"/>
      <c r="BG189" s="726"/>
    </row>
    <row r="190" spans="1:59" x14ac:dyDescent="0.25">
      <c r="A190" s="729" t="s">
        <v>256</v>
      </c>
      <c r="B190" s="730">
        <v>8666</v>
      </c>
      <c r="C190" s="725">
        <f t="shared" si="3"/>
        <v>541.00070635286909</v>
      </c>
      <c r="D190" s="747" t="s">
        <v>1480</v>
      </c>
      <c r="E190" s="726"/>
      <c r="F190" s="726"/>
      <c r="G190" s="726"/>
      <c r="H190" s="726"/>
      <c r="I190" s="745"/>
      <c r="K190" s="726"/>
      <c r="L190" s="726"/>
      <c r="M190" s="726"/>
      <c r="N190" s="726"/>
      <c r="O190" s="726"/>
      <c r="P190" s="726"/>
      <c r="Q190" s="726"/>
      <c r="R190" s="726"/>
      <c r="S190" s="726"/>
      <c r="T190" s="726"/>
      <c r="U190" s="726"/>
      <c r="V190" s="726"/>
      <c r="W190" s="726"/>
      <c r="X190" s="726"/>
      <c r="Y190" s="726"/>
      <c r="Z190" s="726"/>
      <c r="AA190" s="726"/>
      <c r="AB190" s="726"/>
      <c r="AC190" s="726"/>
      <c r="AD190" s="726"/>
      <c r="AE190" s="726"/>
      <c r="AF190" s="726"/>
      <c r="AG190" s="726"/>
      <c r="AH190" s="726"/>
      <c r="AI190" s="726"/>
      <c r="AJ190" s="726"/>
      <c r="AK190" s="726"/>
      <c r="AL190" s="726"/>
      <c r="AM190" s="726"/>
      <c r="AN190" s="726"/>
      <c r="AO190" s="726"/>
      <c r="AP190" s="726"/>
      <c r="AQ190" s="726"/>
      <c r="AR190" s="726"/>
      <c r="AS190" s="726"/>
      <c r="AT190" s="726"/>
      <c r="AU190" s="726"/>
      <c r="AV190" s="726"/>
      <c r="AW190" s="726"/>
      <c r="AX190" s="726"/>
      <c r="AY190" s="726"/>
      <c r="AZ190" s="726"/>
      <c r="BA190" s="726"/>
      <c r="BB190" s="726"/>
      <c r="BC190" s="726"/>
      <c r="BD190" s="726"/>
      <c r="BE190" s="726"/>
      <c r="BF190" s="726"/>
      <c r="BG190" s="726"/>
    </row>
    <row r="191" spans="1:59" x14ac:dyDescent="0.25">
      <c r="A191" s="719" t="s">
        <v>257</v>
      </c>
      <c r="B191" s="732">
        <v>1506</v>
      </c>
      <c r="C191" s="725">
        <f t="shared" si="3"/>
        <v>94.016508627673772</v>
      </c>
      <c r="D191" s="92"/>
      <c r="E191" s="726"/>
      <c r="F191" s="726"/>
      <c r="G191" s="726"/>
      <c r="H191" s="726"/>
      <c r="I191" s="745"/>
      <c r="K191" s="726"/>
      <c r="L191" s="726"/>
      <c r="M191" s="726"/>
      <c r="N191" s="726"/>
      <c r="O191" s="726"/>
      <c r="P191" s="726"/>
      <c r="Q191" s="726"/>
      <c r="R191" s="726"/>
      <c r="S191" s="726"/>
      <c r="T191" s="726"/>
      <c r="U191" s="726"/>
      <c r="V191" s="726"/>
      <c r="W191" s="726"/>
      <c r="X191" s="726"/>
      <c r="Y191" s="726"/>
      <c r="Z191" s="726"/>
      <c r="AA191" s="726"/>
      <c r="AB191" s="726"/>
      <c r="AC191" s="726"/>
      <c r="AD191" s="726"/>
      <c r="AE191" s="726"/>
      <c r="AF191" s="726"/>
      <c r="AG191" s="726"/>
      <c r="AH191" s="726"/>
      <c r="AI191" s="726"/>
      <c r="AJ191" s="726"/>
      <c r="AK191" s="726"/>
      <c r="AL191" s="726"/>
      <c r="AM191" s="726"/>
      <c r="AN191" s="726"/>
      <c r="AO191" s="726"/>
      <c r="AP191" s="726"/>
      <c r="AQ191" s="726"/>
      <c r="AR191" s="726"/>
      <c r="AS191" s="726"/>
      <c r="AT191" s="726"/>
      <c r="AU191" s="726"/>
      <c r="AV191" s="726"/>
      <c r="AW191" s="726"/>
      <c r="AX191" s="726"/>
      <c r="AY191" s="726"/>
      <c r="AZ191" s="726"/>
      <c r="BA191" s="726"/>
      <c r="BB191" s="726"/>
      <c r="BC191" s="726"/>
      <c r="BD191" s="726"/>
      <c r="BE191" s="726"/>
      <c r="BF191" s="726"/>
      <c r="BG191" s="726"/>
    </row>
    <row r="192" spans="1:59" x14ac:dyDescent="0.25">
      <c r="A192" s="727" t="s">
        <v>71</v>
      </c>
      <c r="B192" s="728">
        <v>1400</v>
      </c>
      <c r="C192" s="725">
        <f t="shared" si="3"/>
        <v>87.39914480660245</v>
      </c>
      <c r="D192" s="92"/>
      <c r="E192" s="726"/>
      <c r="F192" s="726"/>
      <c r="G192" s="726"/>
      <c r="H192" s="726"/>
      <c r="I192" s="745"/>
      <c r="K192" s="726"/>
      <c r="L192" s="726"/>
      <c r="M192" s="726"/>
      <c r="N192" s="726"/>
      <c r="O192" s="726"/>
      <c r="P192" s="726"/>
      <c r="Q192" s="726"/>
      <c r="R192" s="726"/>
      <c r="S192" s="726"/>
      <c r="T192" s="726"/>
      <c r="U192" s="726"/>
      <c r="V192" s="726"/>
      <c r="W192" s="726"/>
      <c r="X192" s="726"/>
      <c r="Y192" s="726"/>
      <c r="Z192" s="726"/>
      <c r="AA192" s="726"/>
      <c r="AB192" s="726"/>
      <c r="AC192" s="726"/>
      <c r="AD192" s="726"/>
      <c r="AE192" s="726"/>
      <c r="AF192" s="726"/>
      <c r="AG192" s="726"/>
      <c r="AH192" s="726"/>
      <c r="AI192" s="726"/>
      <c r="AJ192" s="726"/>
      <c r="AK192" s="726"/>
      <c r="AL192" s="726"/>
      <c r="AM192" s="726"/>
      <c r="AN192" s="726"/>
      <c r="AO192" s="726"/>
      <c r="AP192" s="726"/>
      <c r="AQ192" s="726"/>
      <c r="AR192" s="726"/>
      <c r="AS192" s="726"/>
      <c r="AT192" s="726"/>
      <c r="AU192" s="726"/>
      <c r="AV192" s="726"/>
      <c r="AW192" s="726"/>
      <c r="AX192" s="726"/>
      <c r="AY192" s="726"/>
      <c r="AZ192" s="726"/>
      <c r="BA192" s="726"/>
      <c r="BB192" s="726"/>
      <c r="BC192" s="726"/>
      <c r="BD192" s="726"/>
      <c r="BE192" s="726"/>
      <c r="BF192" s="726"/>
      <c r="BG192" s="726"/>
    </row>
    <row r="193" spans="1:59" x14ac:dyDescent="0.25">
      <c r="A193" s="729" t="s">
        <v>258</v>
      </c>
      <c r="B193" s="730">
        <v>1.26</v>
      </c>
      <c r="C193" s="725">
        <f t="shared" si="3"/>
        <v>7.86592303259422E-2</v>
      </c>
      <c r="D193" s="92"/>
      <c r="E193" s="726"/>
      <c r="F193" s="726"/>
      <c r="G193" s="726"/>
      <c r="H193" s="726"/>
      <c r="I193" s="745"/>
      <c r="K193" s="726"/>
      <c r="L193" s="726"/>
      <c r="M193" s="726"/>
      <c r="N193" s="726"/>
      <c r="O193" s="726"/>
      <c r="P193" s="726"/>
      <c r="Q193" s="726"/>
      <c r="R193" s="726"/>
      <c r="S193" s="726"/>
      <c r="T193" s="726"/>
      <c r="U193" s="726"/>
      <c r="V193" s="726"/>
      <c r="W193" s="726"/>
      <c r="X193" s="726"/>
      <c r="Y193" s="726"/>
      <c r="Z193" s="726"/>
      <c r="AA193" s="726"/>
      <c r="AB193" s="726"/>
      <c r="AC193" s="726"/>
      <c r="AD193" s="726"/>
      <c r="AE193" s="726"/>
      <c r="AF193" s="726"/>
      <c r="AG193" s="726"/>
      <c r="AH193" s="726"/>
      <c r="AI193" s="726"/>
      <c r="AJ193" s="726"/>
      <c r="AK193" s="726"/>
      <c r="AL193" s="726"/>
      <c r="AM193" s="726"/>
      <c r="AN193" s="726"/>
      <c r="AO193" s="726"/>
      <c r="AP193" s="726"/>
      <c r="AQ193" s="726"/>
      <c r="AR193" s="726"/>
      <c r="AS193" s="726"/>
      <c r="AT193" s="726"/>
      <c r="AU193" s="726"/>
      <c r="AV193" s="726"/>
      <c r="AW193" s="726"/>
      <c r="AX193" s="726"/>
      <c r="AY193" s="726"/>
      <c r="AZ193" s="726"/>
      <c r="BA193" s="726"/>
      <c r="BB193" s="726"/>
      <c r="BC193" s="726"/>
      <c r="BD193" s="726"/>
      <c r="BE193" s="726"/>
      <c r="BF193" s="726"/>
      <c r="BG193" s="726"/>
    </row>
    <row r="194" spans="1:59" x14ac:dyDescent="0.25">
      <c r="A194" s="727" t="s">
        <v>81</v>
      </c>
      <c r="B194" s="728">
        <v>729</v>
      </c>
      <c r="C194" s="725">
        <f t="shared" si="3"/>
        <v>45.509983260009413</v>
      </c>
      <c r="D194" s="92"/>
      <c r="E194" s="726"/>
      <c r="F194" s="726"/>
      <c r="G194" s="726"/>
      <c r="H194" s="726"/>
      <c r="I194" s="745"/>
      <c r="K194" s="726"/>
      <c r="L194" s="726"/>
      <c r="M194" s="726"/>
      <c r="N194" s="726"/>
      <c r="O194" s="726"/>
      <c r="P194" s="726"/>
      <c r="Q194" s="726"/>
      <c r="R194" s="726"/>
      <c r="S194" s="726"/>
      <c r="T194" s="726"/>
      <c r="U194" s="726"/>
      <c r="V194" s="726"/>
      <c r="W194" s="726"/>
      <c r="X194" s="726"/>
      <c r="Y194" s="726"/>
      <c r="Z194" s="726"/>
      <c r="AA194" s="726"/>
      <c r="AB194" s="726"/>
      <c r="AC194" s="726"/>
      <c r="AD194" s="726"/>
      <c r="AE194" s="726"/>
      <c r="AF194" s="726"/>
      <c r="AG194" s="726"/>
      <c r="AH194" s="726"/>
      <c r="AI194" s="726"/>
      <c r="AJ194" s="726"/>
      <c r="AK194" s="726"/>
      <c r="AL194" s="726"/>
      <c r="AM194" s="726"/>
      <c r="AN194" s="726"/>
      <c r="AO194" s="726"/>
      <c r="AP194" s="726"/>
      <c r="AQ194" s="726"/>
      <c r="AR194" s="726"/>
      <c r="AS194" s="726"/>
      <c r="AT194" s="726"/>
      <c r="AU194" s="726"/>
      <c r="AV194" s="726"/>
      <c r="AW194" s="726"/>
      <c r="AX194" s="726"/>
      <c r="AY194" s="726"/>
      <c r="AZ194" s="726"/>
      <c r="BA194" s="726"/>
      <c r="BB194" s="726"/>
      <c r="BC194" s="726"/>
      <c r="BD194" s="726"/>
      <c r="BE194" s="726"/>
      <c r="BF194" s="726"/>
      <c r="BG194" s="726"/>
    </row>
    <row r="195" spans="1:59" x14ac:dyDescent="0.25">
      <c r="A195" s="729" t="s">
        <v>259</v>
      </c>
      <c r="B195" s="730">
        <v>705</v>
      </c>
      <c r="C195" s="725">
        <f t="shared" si="3"/>
        <v>44.011712206181947</v>
      </c>
      <c r="D195" s="92"/>
      <c r="E195" s="726"/>
      <c r="F195" s="726"/>
      <c r="G195" s="726"/>
      <c r="H195" s="726"/>
      <c r="I195" s="745"/>
      <c r="K195" s="726"/>
      <c r="L195" s="726"/>
      <c r="M195" s="726"/>
      <c r="N195" s="726"/>
      <c r="O195" s="726"/>
      <c r="P195" s="726"/>
      <c r="Q195" s="726"/>
      <c r="R195" s="726"/>
      <c r="S195" s="726"/>
      <c r="T195" s="726"/>
      <c r="U195" s="726"/>
      <c r="V195" s="726"/>
      <c r="W195" s="726"/>
      <c r="X195" s="726"/>
      <c r="Y195" s="726"/>
      <c r="Z195" s="726"/>
      <c r="AA195" s="726"/>
      <c r="AB195" s="726"/>
      <c r="AC195" s="726"/>
      <c r="AD195" s="726"/>
      <c r="AE195" s="726"/>
      <c r="AF195" s="726"/>
      <c r="AG195" s="726"/>
      <c r="AH195" s="726"/>
      <c r="AI195" s="726"/>
      <c r="AJ195" s="726"/>
      <c r="AK195" s="726"/>
      <c r="AL195" s="726"/>
      <c r="AM195" s="726"/>
      <c r="AN195" s="726"/>
      <c r="AO195" s="726"/>
      <c r="AP195" s="726"/>
      <c r="AQ195" s="726"/>
      <c r="AR195" s="726"/>
      <c r="AS195" s="726"/>
      <c r="AT195" s="726"/>
      <c r="AU195" s="726"/>
      <c r="AV195" s="726"/>
      <c r="AW195" s="726"/>
      <c r="AX195" s="726"/>
      <c r="AY195" s="726"/>
      <c r="AZ195" s="726"/>
      <c r="BA195" s="726"/>
      <c r="BB195" s="726"/>
      <c r="BC195" s="726"/>
      <c r="BD195" s="726"/>
      <c r="BE195" s="726"/>
      <c r="BF195" s="726"/>
      <c r="BG195" s="726"/>
    </row>
    <row r="196" spans="1:59" x14ac:dyDescent="0.25">
      <c r="A196" s="28" t="s">
        <v>260</v>
      </c>
      <c r="B196" s="732">
        <v>432</v>
      </c>
      <c r="C196" s="725">
        <f t="shared" si="3"/>
        <v>26.968878968894469</v>
      </c>
      <c r="D196" s="92"/>
      <c r="E196" s="726"/>
      <c r="F196" s="726"/>
      <c r="G196" s="726"/>
      <c r="H196" s="726"/>
      <c r="I196" s="745"/>
      <c r="K196" s="726"/>
      <c r="L196" s="726"/>
      <c r="M196" s="726"/>
      <c r="N196" s="726"/>
      <c r="O196" s="726"/>
      <c r="P196" s="726"/>
      <c r="Q196" s="726"/>
      <c r="R196" s="726"/>
      <c r="S196" s="726"/>
      <c r="T196" s="726"/>
      <c r="U196" s="726"/>
      <c r="V196" s="726"/>
      <c r="W196" s="726"/>
      <c r="X196" s="726"/>
      <c r="Y196" s="726"/>
      <c r="Z196" s="726"/>
      <c r="AA196" s="726"/>
      <c r="AB196" s="726"/>
      <c r="AC196" s="726"/>
      <c r="AD196" s="726"/>
      <c r="AE196" s="726"/>
      <c r="AF196" s="726"/>
      <c r="AG196" s="726"/>
      <c r="AH196" s="726"/>
      <c r="AI196" s="726"/>
      <c r="AJ196" s="726"/>
      <c r="AK196" s="726"/>
      <c r="AL196" s="726"/>
      <c r="AM196" s="726"/>
      <c r="AN196" s="726"/>
      <c r="AO196" s="726"/>
      <c r="AP196" s="726"/>
      <c r="AQ196" s="726"/>
      <c r="AR196" s="726"/>
      <c r="AS196" s="726"/>
      <c r="AT196" s="726"/>
      <c r="AU196" s="726"/>
      <c r="AV196" s="726"/>
      <c r="AW196" s="726"/>
      <c r="AX196" s="726"/>
      <c r="AY196" s="726"/>
      <c r="AZ196" s="726"/>
      <c r="BA196" s="726"/>
      <c r="BB196" s="726"/>
      <c r="BC196" s="726"/>
      <c r="BD196" s="726"/>
      <c r="BE196" s="726"/>
      <c r="BF196" s="726"/>
      <c r="BG196" s="726"/>
    </row>
    <row r="197" spans="1:59" x14ac:dyDescent="0.25">
      <c r="A197" s="727" t="s">
        <v>261</v>
      </c>
      <c r="B197" s="728">
        <v>304</v>
      </c>
      <c r="C197" s="725">
        <f t="shared" si="3"/>
        <v>18.978100015147959</v>
      </c>
      <c r="D197" s="92"/>
      <c r="E197" s="726"/>
      <c r="F197" s="726"/>
      <c r="G197" s="726"/>
      <c r="H197" s="726"/>
      <c r="I197" s="745"/>
      <c r="K197" s="726"/>
      <c r="L197" s="726"/>
      <c r="M197" s="726"/>
      <c r="N197" s="726"/>
      <c r="O197" s="726"/>
      <c r="P197" s="726"/>
      <c r="Q197" s="726"/>
      <c r="R197" s="726"/>
      <c r="S197" s="726"/>
      <c r="T197" s="726"/>
      <c r="U197" s="726"/>
      <c r="V197" s="726"/>
      <c r="W197" s="726"/>
      <c r="X197" s="726"/>
      <c r="Y197" s="726"/>
      <c r="Z197" s="726"/>
      <c r="AA197" s="726"/>
      <c r="AB197" s="726"/>
      <c r="AC197" s="726"/>
      <c r="AD197" s="726"/>
      <c r="AE197" s="726"/>
      <c r="AF197" s="726"/>
      <c r="AG197" s="726"/>
      <c r="AH197" s="726"/>
      <c r="AI197" s="726"/>
      <c r="AJ197" s="726"/>
      <c r="AK197" s="726"/>
      <c r="AL197" s="726"/>
      <c r="AM197" s="726"/>
      <c r="AN197" s="726"/>
      <c r="AO197" s="726"/>
      <c r="AP197" s="726"/>
      <c r="AQ197" s="726"/>
      <c r="AR197" s="726"/>
      <c r="AS197" s="726"/>
      <c r="AT197" s="726"/>
      <c r="AU197" s="726"/>
      <c r="AV197" s="726"/>
      <c r="AW197" s="726"/>
      <c r="AX197" s="726"/>
      <c r="AY197" s="726"/>
      <c r="AZ197" s="726"/>
      <c r="BA197" s="726"/>
      <c r="BB197" s="726"/>
      <c r="BC197" s="726"/>
      <c r="BD197" s="726"/>
      <c r="BE197" s="726"/>
      <c r="BF197" s="726"/>
      <c r="BG197" s="726"/>
    </row>
    <row r="198" spans="1:59" x14ac:dyDescent="0.25">
      <c r="A198" s="729" t="s">
        <v>262</v>
      </c>
      <c r="B198" s="730">
        <v>785</v>
      </c>
      <c r="C198" s="725">
        <f t="shared" si="3"/>
        <v>49.005949052273515</v>
      </c>
      <c r="D198" s="92"/>
      <c r="E198" s="726"/>
      <c r="F198" s="726"/>
      <c r="G198" s="726"/>
      <c r="H198" s="726"/>
      <c r="I198" s="745"/>
      <c r="K198" s="726"/>
      <c r="L198" s="726"/>
      <c r="M198" s="726"/>
      <c r="N198" s="726"/>
      <c r="O198" s="726"/>
      <c r="P198" s="726"/>
      <c r="Q198" s="726"/>
      <c r="R198" s="726"/>
      <c r="S198" s="726"/>
      <c r="T198" s="726"/>
      <c r="U198" s="726"/>
      <c r="V198" s="726"/>
      <c r="W198" s="726"/>
      <c r="X198" s="726"/>
      <c r="Y198" s="726"/>
      <c r="Z198" s="726"/>
      <c r="AA198" s="726"/>
      <c r="AB198" s="726"/>
      <c r="AC198" s="726"/>
      <c r="AD198" s="726"/>
      <c r="AE198" s="726"/>
      <c r="AF198" s="726"/>
      <c r="AG198" s="726"/>
      <c r="AH198" s="726"/>
      <c r="AI198" s="726"/>
      <c r="AJ198" s="726"/>
      <c r="AK198" s="726"/>
      <c r="AL198" s="726"/>
      <c r="AM198" s="726"/>
      <c r="AN198" s="726"/>
      <c r="AO198" s="726"/>
      <c r="AP198" s="726"/>
      <c r="AQ198" s="726"/>
      <c r="AR198" s="726"/>
      <c r="AS198" s="726"/>
      <c r="AT198" s="726"/>
      <c r="AU198" s="726"/>
      <c r="AV198" s="726"/>
      <c r="AW198" s="726"/>
      <c r="AX198" s="726"/>
      <c r="AY198" s="726"/>
      <c r="AZ198" s="726"/>
      <c r="BA198" s="726"/>
      <c r="BB198" s="726"/>
      <c r="BC198" s="726"/>
      <c r="BD198" s="726"/>
      <c r="BE198" s="726"/>
      <c r="BF198" s="726"/>
      <c r="BG198" s="726"/>
    </row>
    <row r="199" spans="1:59" x14ac:dyDescent="0.25">
      <c r="A199" s="28" t="s">
        <v>65</v>
      </c>
      <c r="B199" s="728">
        <v>1050</v>
      </c>
      <c r="C199" s="725">
        <f t="shared" si="3"/>
        <v>65.549358604951834</v>
      </c>
      <c r="D199" s="92"/>
      <c r="E199" s="726"/>
      <c r="F199" s="726"/>
      <c r="G199" s="726"/>
      <c r="H199" s="726"/>
      <c r="I199" s="745"/>
      <c r="K199" s="726"/>
      <c r="L199" s="726"/>
      <c r="M199" s="726"/>
      <c r="N199" s="726"/>
      <c r="O199" s="726"/>
      <c r="P199" s="726"/>
      <c r="Q199" s="726"/>
      <c r="R199" s="726"/>
      <c r="S199" s="726"/>
      <c r="T199" s="726"/>
      <c r="U199" s="726"/>
      <c r="V199" s="726"/>
      <c r="W199" s="726"/>
      <c r="X199" s="726"/>
      <c r="Y199" s="726"/>
      <c r="Z199" s="726"/>
      <c r="AA199" s="726"/>
      <c r="AB199" s="726"/>
      <c r="AC199" s="726"/>
      <c r="AD199" s="726"/>
      <c r="AE199" s="726"/>
      <c r="AF199" s="726"/>
      <c r="AG199" s="726"/>
      <c r="AH199" s="726"/>
      <c r="AI199" s="726"/>
      <c r="AJ199" s="726"/>
      <c r="AK199" s="726"/>
      <c r="AL199" s="726"/>
      <c r="AM199" s="726"/>
      <c r="AN199" s="726"/>
      <c r="AO199" s="726"/>
      <c r="AP199" s="726"/>
      <c r="AQ199" s="726"/>
      <c r="AR199" s="726"/>
      <c r="AS199" s="726"/>
      <c r="AT199" s="726"/>
      <c r="AU199" s="726"/>
      <c r="AV199" s="726"/>
      <c r="AW199" s="726"/>
      <c r="AX199" s="726"/>
      <c r="AY199" s="726"/>
      <c r="AZ199" s="726"/>
      <c r="BA199" s="726"/>
      <c r="BB199" s="726"/>
      <c r="BC199" s="726"/>
      <c r="BD199" s="726"/>
      <c r="BE199" s="726"/>
      <c r="BF199" s="726"/>
      <c r="BG199" s="726"/>
    </row>
    <row r="200" spans="1:59" x14ac:dyDescent="0.25">
      <c r="A200" s="731" t="s">
        <v>263</v>
      </c>
      <c r="B200" s="732">
        <v>942</v>
      </c>
      <c r="C200" s="725">
        <f t="shared" si="3"/>
        <v>58.807138862728223</v>
      </c>
      <c r="D200" s="92"/>
      <c r="E200" s="726"/>
      <c r="F200" s="726"/>
      <c r="G200" s="726"/>
      <c r="H200" s="726"/>
      <c r="I200" s="745"/>
      <c r="K200" s="726"/>
      <c r="L200" s="726"/>
      <c r="M200" s="726"/>
      <c r="N200" s="726"/>
      <c r="O200" s="726"/>
      <c r="P200" s="726"/>
      <c r="Q200" s="726"/>
      <c r="R200" s="726"/>
      <c r="S200" s="726"/>
      <c r="T200" s="726"/>
      <c r="U200" s="726"/>
      <c r="V200" s="726"/>
      <c r="W200" s="726"/>
      <c r="X200" s="726"/>
      <c r="Y200" s="726"/>
      <c r="Z200" s="726"/>
      <c r="AA200" s="726"/>
      <c r="AB200" s="726"/>
      <c r="AC200" s="726"/>
      <c r="AD200" s="726"/>
      <c r="AE200" s="726"/>
      <c r="AF200" s="726"/>
      <c r="AG200" s="726"/>
      <c r="AH200" s="726"/>
      <c r="AI200" s="726"/>
      <c r="AJ200" s="726"/>
      <c r="AK200" s="726"/>
      <c r="AL200" s="726"/>
      <c r="AM200" s="726"/>
      <c r="AN200" s="726"/>
      <c r="AO200" s="726"/>
      <c r="AP200" s="726"/>
      <c r="AQ200" s="726"/>
      <c r="AR200" s="726"/>
      <c r="AS200" s="726"/>
      <c r="AT200" s="726"/>
      <c r="AU200" s="726"/>
      <c r="AV200" s="726"/>
      <c r="AW200" s="726"/>
      <c r="AX200" s="726"/>
      <c r="AY200" s="726"/>
      <c r="AZ200" s="726"/>
      <c r="BA200" s="726"/>
      <c r="BB200" s="726"/>
      <c r="BC200" s="726"/>
      <c r="BD200" s="726"/>
      <c r="BE200" s="726"/>
      <c r="BF200" s="726"/>
      <c r="BG200" s="726"/>
    </row>
    <row r="201" spans="1:59" x14ac:dyDescent="0.25">
      <c r="A201" s="727" t="s">
        <v>264</v>
      </c>
      <c r="B201" s="728">
        <v>881</v>
      </c>
      <c r="C201" s="725">
        <f t="shared" si="3"/>
        <v>54.999033267583393</v>
      </c>
      <c r="D201" s="92"/>
      <c r="E201" s="726"/>
      <c r="F201" s="726"/>
      <c r="G201" s="726"/>
      <c r="H201" s="726"/>
      <c r="I201" s="745"/>
      <c r="K201" s="726"/>
      <c r="L201" s="726"/>
      <c r="M201" s="726"/>
      <c r="N201" s="726"/>
      <c r="O201" s="726"/>
      <c r="P201" s="726"/>
      <c r="Q201" s="726"/>
      <c r="R201" s="726"/>
      <c r="S201" s="726"/>
      <c r="T201" s="726"/>
      <c r="U201" s="726"/>
      <c r="V201" s="726"/>
      <c r="W201" s="726"/>
      <c r="X201" s="726"/>
      <c r="Y201" s="726"/>
      <c r="Z201" s="726"/>
      <c r="AA201" s="726"/>
      <c r="AB201" s="726"/>
      <c r="AC201" s="726"/>
      <c r="AD201" s="726"/>
      <c r="AE201" s="726"/>
      <c r="AF201" s="726"/>
      <c r="AG201" s="726"/>
      <c r="AH201" s="726"/>
      <c r="AI201" s="726"/>
      <c r="AJ201" s="726"/>
      <c r="AK201" s="726"/>
      <c r="AL201" s="726"/>
      <c r="AM201" s="726"/>
      <c r="AN201" s="726"/>
      <c r="AO201" s="726"/>
      <c r="AP201" s="726"/>
      <c r="AQ201" s="726"/>
      <c r="AR201" s="726"/>
      <c r="AS201" s="726"/>
      <c r="AT201" s="726"/>
      <c r="AU201" s="726"/>
      <c r="AV201" s="726"/>
      <c r="AW201" s="726"/>
      <c r="AX201" s="726"/>
      <c r="AY201" s="726"/>
      <c r="AZ201" s="726"/>
      <c r="BA201" s="726"/>
      <c r="BB201" s="726"/>
      <c r="BC201" s="726"/>
      <c r="BD201" s="726"/>
      <c r="BE201" s="726"/>
      <c r="BF201" s="726"/>
      <c r="BG201" s="726"/>
    </row>
    <row r="202" spans="1:59" x14ac:dyDescent="0.25">
      <c r="A202" s="729" t="s">
        <v>379</v>
      </c>
      <c r="B202" s="730">
        <v>658</v>
      </c>
      <c r="C202" s="725">
        <f t="shared" si="3"/>
        <v>41.077598059103153</v>
      </c>
      <c r="D202" s="92"/>
      <c r="E202" s="726"/>
      <c r="F202" s="726"/>
      <c r="G202" s="726"/>
      <c r="H202" s="726"/>
      <c r="I202" s="745"/>
      <c r="K202" s="726"/>
      <c r="L202" s="726"/>
      <c r="M202" s="726"/>
      <c r="N202" s="726"/>
      <c r="O202" s="726"/>
      <c r="P202" s="726"/>
      <c r="Q202" s="726"/>
      <c r="R202" s="726"/>
      <c r="S202" s="726"/>
      <c r="T202" s="726"/>
      <c r="U202" s="726"/>
      <c r="V202" s="726"/>
      <c r="W202" s="726"/>
      <c r="X202" s="726"/>
      <c r="Y202" s="726"/>
      <c r="Z202" s="726"/>
      <c r="AA202" s="726"/>
      <c r="AB202" s="726"/>
      <c r="AC202" s="726"/>
      <c r="AD202" s="726"/>
      <c r="AE202" s="726"/>
      <c r="AF202" s="726"/>
      <c r="AG202" s="726"/>
      <c r="AH202" s="726"/>
      <c r="AI202" s="726"/>
      <c r="AJ202" s="726"/>
      <c r="AK202" s="726"/>
      <c r="AL202" s="726"/>
      <c r="AM202" s="726"/>
      <c r="AN202" s="726"/>
      <c r="AO202" s="726"/>
      <c r="AP202" s="726"/>
      <c r="AQ202" s="726"/>
      <c r="AR202" s="726"/>
      <c r="AS202" s="726"/>
      <c r="AT202" s="726"/>
      <c r="AU202" s="726"/>
      <c r="AV202" s="726"/>
      <c r="AW202" s="726"/>
      <c r="AX202" s="726"/>
      <c r="AY202" s="726"/>
      <c r="AZ202" s="726"/>
      <c r="BA202" s="726"/>
      <c r="BB202" s="726"/>
      <c r="BC202" s="726"/>
      <c r="BD202" s="726"/>
      <c r="BE202" s="726"/>
      <c r="BF202" s="726"/>
      <c r="BG202" s="726"/>
    </row>
    <row r="203" spans="1:59" x14ac:dyDescent="0.25">
      <c r="A203" s="727" t="s">
        <v>380</v>
      </c>
      <c r="B203" s="728">
        <v>658</v>
      </c>
      <c r="C203" s="725">
        <f t="shared" si="3"/>
        <v>41.077598059103153</v>
      </c>
      <c r="D203" s="92"/>
      <c r="E203" s="726"/>
      <c r="F203" s="726"/>
      <c r="G203" s="726"/>
      <c r="H203" s="726"/>
      <c r="I203" s="745"/>
      <c r="K203" s="726"/>
      <c r="L203" s="726"/>
      <c r="M203" s="726"/>
      <c r="N203" s="726"/>
      <c r="O203" s="726"/>
      <c r="P203" s="726"/>
      <c r="Q203" s="726"/>
      <c r="R203" s="726"/>
      <c r="S203" s="726"/>
      <c r="T203" s="726"/>
      <c r="U203" s="726"/>
      <c r="V203" s="726"/>
      <c r="W203" s="726"/>
      <c r="X203" s="726"/>
      <c r="Y203" s="726"/>
      <c r="Z203" s="726"/>
      <c r="AA203" s="726"/>
      <c r="AB203" s="726"/>
      <c r="AC203" s="726"/>
      <c r="AD203" s="726"/>
      <c r="AE203" s="726"/>
      <c r="AF203" s="726"/>
      <c r="AG203" s="726"/>
      <c r="AH203" s="726"/>
      <c r="AI203" s="726"/>
      <c r="AJ203" s="726"/>
      <c r="AK203" s="726"/>
      <c r="AL203" s="726"/>
      <c r="AM203" s="726"/>
      <c r="AN203" s="726"/>
      <c r="AO203" s="726"/>
      <c r="AP203" s="726"/>
      <c r="AQ203" s="726"/>
      <c r="AR203" s="726"/>
      <c r="AS203" s="726"/>
      <c r="AT203" s="726"/>
      <c r="AU203" s="726"/>
      <c r="AV203" s="726"/>
      <c r="AW203" s="726"/>
      <c r="AX203" s="726"/>
      <c r="AY203" s="726"/>
      <c r="AZ203" s="726"/>
      <c r="BA203" s="726"/>
      <c r="BB203" s="726"/>
      <c r="BC203" s="726"/>
      <c r="BD203" s="726"/>
      <c r="BE203" s="726"/>
      <c r="BF203" s="726"/>
      <c r="BG203" s="726"/>
    </row>
    <row r="204" spans="1:59" x14ac:dyDescent="0.25">
      <c r="A204" s="727" t="s">
        <v>265</v>
      </c>
      <c r="B204" s="728">
        <v>1.43</v>
      </c>
      <c r="C204" s="725">
        <f t="shared" si="3"/>
        <v>8.9271983623886775E-2</v>
      </c>
      <c r="D204" s="92"/>
      <c r="E204" s="726"/>
      <c r="F204" s="726"/>
      <c r="G204" s="726"/>
      <c r="H204" s="726"/>
      <c r="I204" s="745"/>
      <c r="K204" s="726"/>
      <c r="L204" s="726"/>
      <c r="M204" s="726"/>
      <c r="N204" s="726"/>
      <c r="O204" s="726"/>
      <c r="P204" s="726"/>
      <c r="Q204" s="726"/>
      <c r="R204" s="726"/>
      <c r="S204" s="726"/>
      <c r="T204" s="726"/>
      <c r="U204" s="726"/>
      <c r="V204" s="726"/>
      <c r="W204" s="726"/>
      <c r="X204" s="726"/>
      <c r="Y204" s="726"/>
      <c r="Z204" s="726"/>
      <c r="AA204" s="726"/>
      <c r="AB204" s="726"/>
      <c r="AC204" s="726"/>
      <c r="AD204" s="726"/>
      <c r="AE204" s="726"/>
      <c r="AF204" s="726"/>
      <c r="AG204" s="726"/>
      <c r="AH204" s="726"/>
      <c r="AI204" s="726"/>
      <c r="AJ204" s="726"/>
      <c r="AK204" s="726"/>
      <c r="AL204" s="726"/>
      <c r="AM204" s="726"/>
      <c r="AN204" s="726"/>
      <c r="AO204" s="726"/>
      <c r="AP204" s="726"/>
      <c r="AQ204" s="726"/>
      <c r="AR204" s="726"/>
      <c r="AS204" s="726"/>
      <c r="AT204" s="726"/>
      <c r="AU204" s="726"/>
      <c r="AV204" s="726"/>
      <c r="AW204" s="726"/>
      <c r="AX204" s="726"/>
      <c r="AY204" s="726"/>
      <c r="AZ204" s="726"/>
      <c r="BA204" s="726"/>
      <c r="BB204" s="726"/>
      <c r="BC204" s="726"/>
      <c r="BD204" s="726"/>
      <c r="BE204" s="726"/>
      <c r="BF204" s="726"/>
      <c r="BG204" s="726"/>
    </row>
    <row r="205" spans="1:59" x14ac:dyDescent="0.25">
      <c r="A205" s="729" t="s">
        <v>266</v>
      </c>
      <c r="B205" s="730">
        <v>849</v>
      </c>
      <c r="C205" s="725">
        <f t="shared" si="3"/>
        <v>53.001338529146764</v>
      </c>
      <c r="D205" s="92"/>
      <c r="E205" s="726"/>
      <c r="F205" s="726"/>
      <c r="G205" s="726"/>
      <c r="H205" s="726"/>
      <c r="I205" s="745"/>
      <c r="K205" s="726"/>
      <c r="L205" s="726"/>
      <c r="M205" s="726"/>
      <c r="N205" s="726"/>
      <c r="O205" s="726"/>
      <c r="P205" s="726"/>
      <c r="Q205" s="726"/>
      <c r="R205" s="726"/>
      <c r="S205" s="726"/>
      <c r="T205" s="726"/>
      <c r="U205" s="726"/>
      <c r="V205" s="726"/>
      <c r="W205" s="726"/>
      <c r="X205" s="726"/>
      <c r="Y205" s="726"/>
      <c r="Z205" s="726"/>
      <c r="AA205" s="726"/>
      <c r="AB205" s="726"/>
      <c r="AC205" s="726"/>
      <c r="AD205" s="726"/>
      <c r="AE205" s="726"/>
      <c r="AF205" s="726"/>
      <c r="AG205" s="726"/>
      <c r="AH205" s="726"/>
      <c r="AI205" s="726"/>
      <c r="AJ205" s="726"/>
      <c r="AK205" s="726"/>
      <c r="AL205" s="726"/>
      <c r="AM205" s="726"/>
      <c r="AN205" s="726"/>
      <c r="AO205" s="726"/>
      <c r="AP205" s="726"/>
      <c r="AQ205" s="726"/>
      <c r="AR205" s="726"/>
      <c r="AS205" s="726"/>
      <c r="AT205" s="726"/>
      <c r="AU205" s="726"/>
      <c r="AV205" s="726"/>
      <c r="AW205" s="726"/>
      <c r="AX205" s="726"/>
      <c r="AY205" s="726"/>
      <c r="AZ205" s="726"/>
      <c r="BA205" s="726"/>
      <c r="BB205" s="726"/>
      <c r="BC205" s="726"/>
      <c r="BD205" s="726"/>
      <c r="BE205" s="726"/>
      <c r="BF205" s="726"/>
      <c r="BG205" s="726"/>
    </row>
    <row r="206" spans="1:59" x14ac:dyDescent="0.25">
      <c r="A206" s="729" t="s">
        <v>267</v>
      </c>
      <c r="B206" s="730">
        <v>1201</v>
      </c>
      <c r="C206" s="725">
        <f t="shared" si="3"/>
        <v>74.975980651949669</v>
      </c>
      <c r="D206" s="92"/>
      <c r="E206" s="726"/>
      <c r="F206" s="726"/>
      <c r="G206" s="726"/>
      <c r="H206" s="726"/>
      <c r="I206" s="745"/>
      <c r="K206" s="726"/>
      <c r="L206" s="726"/>
      <c r="M206" s="726"/>
      <c r="N206" s="726"/>
      <c r="O206" s="726"/>
      <c r="P206" s="726"/>
      <c r="Q206" s="726"/>
      <c r="R206" s="726"/>
      <c r="S206" s="726"/>
      <c r="T206" s="726"/>
      <c r="U206" s="726"/>
      <c r="V206" s="726"/>
      <c r="W206" s="726"/>
      <c r="X206" s="726"/>
      <c r="Y206" s="726"/>
      <c r="Z206" s="726"/>
      <c r="AA206" s="726"/>
      <c r="AB206" s="726"/>
      <c r="AC206" s="726"/>
      <c r="AD206" s="726"/>
      <c r="AE206" s="726"/>
      <c r="AF206" s="726"/>
      <c r="AG206" s="726"/>
      <c r="AH206" s="726"/>
      <c r="AI206" s="726"/>
      <c r="AJ206" s="726"/>
      <c r="AK206" s="726"/>
      <c r="AL206" s="726"/>
      <c r="AM206" s="726"/>
      <c r="AN206" s="726"/>
      <c r="AO206" s="726"/>
      <c r="AP206" s="726"/>
      <c r="AQ206" s="726"/>
      <c r="AR206" s="726"/>
      <c r="AS206" s="726"/>
      <c r="AT206" s="726"/>
      <c r="AU206" s="726"/>
      <c r="AV206" s="726"/>
      <c r="AW206" s="726"/>
      <c r="AX206" s="726"/>
      <c r="AY206" s="726"/>
      <c r="AZ206" s="726"/>
      <c r="BA206" s="726"/>
      <c r="BB206" s="726"/>
      <c r="BC206" s="726"/>
      <c r="BD206" s="726"/>
      <c r="BE206" s="726"/>
      <c r="BF206" s="726"/>
      <c r="BG206" s="726"/>
    </row>
    <row r="207" spans="1:59" x14ac:dyDescent="0.25">
      <c r="A207" s="729" t="s">
        <v>268</v>
      </c>
      <c r="B207" s="730">
        <v>272</v>
      </c>
      <c r="C207" s="725">
        <f t="shared" si="3"/>
        <v>16.980405276711334</v>
      </c>
      <c r="D207" s="92"/>
      <c r="E207" s="726"/>
      <c r="F207" s="726"/>
      <c r="G207" s="726"/>
      <c r="H207" s="726"/>
      <c r="I207" s="745"/>
      <c r="K207" s="726"/>
      <c r="L207" s="726"/>
      <c r="M207" s="726"/>
      <c r="N207" s="726"/>
      <c r="O207" s="726"/>
      <c r="P207" s="726"/>
      <c r="Q207" s="726"/>
      <c r="R207" s="726"/>
      <c r="S207" s="726"/>
      <c r="T207" s="726"/>
      <c r="U207" s="726"/>
      <c r="V207" s="726"/>
      <c r="W207" s="726"/>
      <c r="X207" s="726"/>
      <c r="Y207" s="726"/>
      <c r="Z207" s="726"/>
      <c r="AA207" s="726"/>
      <c r="AB207" s="726"/>
      <c r="AC207" s="726"/>
      <c r="AD207" s="726"/>
      <c r="AE207" s="726"/>
      <c r="AF207" s="726"/>
      <c r="AG207" s="726"/>
      <c r="AH207" s="726"/>
      <c r="AI207" s="726"/>
      <c r="AJ207" s="726"/>
      <c r="AK207" s="726"/>
      <c r="AL207" s="726"/>
      <c r="AM207" s="726"/>
      <c r="AN207" s="726"/>
      <c r="AO207" s="726"/>
      <c r="AP207" s="726"/>
      <c r="AQ207" s="726"/>
      <c r="AR207" s="726"/>
      <c r="AS207" s="726"/>
      <c r="AT207" s="726"/>
      <c r="AU207" s="726"/>
      <c r="AV207" s="726"/>
      <c r="AW207" s="726"/>
      <c r="AX207" s="726"/>
      <c r="AY207" s="726"/>
      <c r="AZ207" s="726"/>
      <c r="BA207" s="726"/>
      <c r="BB207" s="726"/>
      <c r="BC207" s="726"/>
      <c r="BD207" s="726"/>
      <c r="BE207" s="726"/>
      <c r="BF207" s="726"/>
      <c r="BG207" s="726"/>
    </row>
    <row r="208" spans="1:59" x14ac:dyDescent="0.25">
      <c r="A208" s="727" t="s">
        <v>269</v>
      </c>
      <c r="B208" s="728">
        <v>641</v>
      </c>
      <c r="C208" s="725">
        <f t="shared" si="3"/>
        <v>40.01632272930869</v>
      </c>
      <c r="D208" s="92"/>
      <c r="E208" s="726"/>
      <c r="F208" s="726"/>
      <c r="G208" s="726"/>
      <c r="H208" s="726"/>
      <c r="I208" s="745"/>
      <c r="K208" s="726"/>
      <c r="L208" s="726"/>
      <c r="M208" s="726"/>
      <c r="N208" s="726"/>
      <c r="O208" s="726"/>
      <c r="P208" s="726"/>
      <c r="Q208" s="726"/>
      <c r="R208" s="726"/>
      <c r="S208" s="726"/>
      <c r="T208" s="726"/>
      <c r="U208" s="726"/>
      <c r="V208" s="726"/>
      <c r="W208" s="726"/>
      <c r="X208" s="726"/>
      <c r="Y208" s="726"/>
      <c r="Z208" s="726"/>
      <c r="AA208" s="726"/>
      <c r="AB208" s="726"/>
      <c r="AC208" s="726"/>
      <c r="AD208" s="726"/>
      <c r="AE208" s="726"/>
      <c r="AF208" s="726"/>
      <c r="AG208" s="726"/>
      <c r="AH208" s="726"/>
      <c r="AI208" s="726"/>
      <c r="AJ208" s="726"/>
      <c r="AK208" s="726"/>
      <c r="AL208" s="726"/>
      <c r="AM208" s="726"/>
      <c r="AN208" s="726"/>
      <c r="AO208" s="726"/>
      <c r="AP208" s="726"/>
      <c r="AQ208" s="726"/>
      <c r="AR208" s="726"/>
      <c r="AS208" s="726"/>
      <c r="AT208" s="726"/>
      <c r="AU208" s="726"/>
      <c r="AV208" s="726"/>
      <c r="AW208" s="726"/>
      <c r="AX208" s="726"/>
      <c r="AY208" s="726"/>
      <c r="AZ208" s="726"/>
      <c r="BA208" s="726"/>
      <c r="BB208" s="726"/>
      <c r="BC208" s="726"/>
      <c r="BD208" s="726"/>
      <c r="BE208" s="726"/>
      <c r="BF208" s="726"/>
      <c r="BG208" s="726"/>
    </row>
    <row r="209" spans="1:59" x14ac:dyDescent="0.25">
      <c r="A209" s="729" t="s">
        <v>270</v>
      </c>
      <c r="B209" s="730">
        <v>400</v>
      </c>
      <c r="C209" s="725">
        <f t="shared" si="3"/>
        <v>24.97118423045784</v>
      </c>
      <c r="D209" s="92"/>
      <c r="E209" s="726"/>
      <c r="F209" s="726"/>
      <c r="G209" s="726"/>
      <c r="H209" s="726"/>
      <c r="I209" s="745"/>
      <c r="K209" s="726"/>
      <c r="L209" s="726"/>
      <c r="M209" s="726"/>
      <c r="N209" s="726"/>
      <c r="O209" s="726"/>
      <c r="P209" s="726"/>
      <c r="Q209" s="726"/>
      <c r="R209" s="726"/>
      <c r="S209" s="726"/>
      <c r="T209" s="726"/>
      <c r="U209" s="726"/>
      <c r="V209" s="726"/>
      <c r="W209" s="726"/>
      <c r="X209" s="726"/>
      <c r="Y209" s="726"/>
      <c r="Z209" s="726"/>
      <c r="AA209" s="726"/>
      <c r="AB209" s="726"/>
      <c r="AC209" s="726"/>
      <c r="AD209" s="726"/>
      <c r="AE209" s="726"/>
      <c r="AF209" s="726"/>
      <c r="AG209" s="726"/>
      <c r="AH209" s="726"/>
      <c r="AI209" s="726"/>
      <c r="AJ209" s="726"/>
      <c r="AK209" s="726"/>
      <c r="AL209" s="726"/>
      <c r="AM209" s="726"/>
      <c r="AN209" s="726"/>
      <c r="AO209" s="726"/>
      <c r="AP209" s="726"/>
      <c r="AQ209" s="726"/>
      <c r="AR209" s="726"/>
      <c r="AS209" s="726"/>
      <c r="AT209" s="726"/>
      <c r="AU209" s="726"/>
      <c r="AV209" s="726"/>
      <c r="AW209" s="726"/>
      <c r="AX209" s="726"/>
      <c r="AY209" s="726"/>
      <c r="AZ209" s="726"/>
      <c r="BA209" s="726"/>
      <c r="BB209" s="726"/>
      <c r="BC209" s="726"/>
      <c r="BD209" s="726"/>
      <c r="BE209" s="726"/>
      <c r="BF209" s="726"/>
      <c r="BG209" s="726"/>
    </row>
    <row r="210" spans="1:59" x14ac:dyDescent="0.25">
      <c r="A210" s="727" t="s">
        <v>271</v>
      </c>
      <c r="B210" s="728">
        <v>801</v>
      </c>
      <c r="C210" s="725">
        <f t="shared" ref="C210:C273" si="4">(B210*(2.20462262184877))/35.3146667214885</f>
        <v>50.004796421491825</v>
      </c>
      <c r="D210" s="92"/>
      <c r="E210" s="726"/>
      <c r="F210" s="726"/>
      <c r="G210" s="726"/>
      <c r="H210" s="726"/>
      <c r="I210" s="745"/>
      <c r="K210" s="726"/>
      <c r="L210" s="726"/>
      <c r="M210" s="726"/>
      <c r="N210" s="726"/>
      <c r="O210" s="726"/>
      <c r="P210" s="726"/>
      <c r="Q210" s="726"/>
      <c r="R210" s="726"/>
      <c r="S210" s="726"/>
      <c r="T210" s="726"/>
      <c r="U210" s="726"/>
      <c r="V210" s="726"/>
      <c r="W210" s="726"/>
      <c r="X210" s="726"/>
      <c r="Y210" s="726"/>
      <c r="Z210" s="726"/>
      <c r="AA210" s="726"/>
      <c r="AB210" s="726"/>
      <c r="AC210" s="726"/>
      <c r="AD210" s="726"/>
      <c r="AE210" s="726"/>
      <c r="AF210" s="726"/>
      <c r="AG210" s="726"/>
      <c r="AH210" s="726"/>
      <c r="AI210" s="726"/>
      <c r="AJ210" s="726"/>
      <c r="AK210" s="726"/>
      <c r="AL210" s="726"/>
      <c r="AM210" s="726"/>
      <c r="AN210" s="726"/>
      <c r="AO210" s="726"/>
      <c r="AP210" s="726"/>
      <c r="AQ210" s="726"/>
      <c r="AR210" s="726"/>
      <c r="AS210" s="726"/>
      <c r="AT210" s="726"/>
      <c r="AU210" s="726"/>
      <c r="AV210" s="726"/>
      <c r="AW210" s="726"/>
      <c r="AX210" s="726"/>
      <c r="AY210" s="726"/>
      <c r="AZ210" s="726"/>
      <c r="BA210" s="726"/>
      <c r="BB210" s="726"/>
      <c r="BC210" s="726"/>
      <c r="BD210" s="726"/>
      <c r="BE210" s="726"/>
      <c r="BF210" s="726"/>
      <c r="BG210" s="726"/>
    </row>
    <row r="211" spans="1:59" x14ac:dyDescent="0.25">
      <c r="A211" s="729" t="s">
        <v>272</v>
      </c>
      <c r="B211" s="730">
        <v>1121</v>
      </c>
      <c r="C211" s="725">
        <f t="shared" si="4"/>
        <v>69.981743805858102</v>
      </c>
      <c r="D211" s="92"/>
      <c r="E211" s="726"/>
      <c r="F211" s="726"/>
      <c r="G211" s="726"/>
      <c r="H211" s="726"/>
      <c r="I211" s="745"/>
      <c r="K211" s="726"/>
      <c r="L211" s="726"/>
      <c r="M211" s="726"/>
      <c r="N211" s="726"/>
      <c r="O211" s="726"/>
      <c r="P211" s="726"/>
      <c r="Q211" s="726"/>
      <c r="R211" s="726"/>
      <c r="S211" s="726"/>
      <c r="T211" s="726"/>
      <c r="U211" s="726"/>
      <c r="V211" s="726"/>
      <c r="W211" s="726"/>
      <c r="X211" s="726"/>
      <c r="Y211" s="726"/>
      <c r="Z211" s="726"/>
      <c r="AA211" s="726"/>
      <c r="AB211" s="726"/>
      <c r="AC211" s="726"/>
      <c r="AD211" s="726"/>
      <c r="AE211" s="726"/>
      <c r="AF211" s="726"/>
      <c r="AG211" s="726"/>
      <c r="AH211" s="726"/>
      <c r="AI211" s="726"/>
      <c r="AJ211" s="726"/>
      <c r="AK211" s="726"/>
      <c r="AL211" s="726"/>
      <c r="AM211" s="726"/>
      <c r="AN211" s="726"/>
      <c r="AO211" s="726"/>
      <c r="AP211" s="726"/>
      <c r="AQ211" s="726"/>
      <c r="AR211" s="726"/>
      <c r="AS211" s="726"/>
      <c r="AT211" s="726"/>
      <c r="AU211" s="726"/>
      <c r="AV211" s="726"/>
      <c r="AW211" s="726"/>
      <c r="AX211" s="726"/>
      <c r="AY211" s="726"/>
      <c r="AZ211" s="726"/>
      <c r="BA211" s="726"/>
      <c r="BB211" s="726"/>
      <c r="BC211" s="726"/>
      <c r="BD211" s="726"/>
      <c r="BE211" s="726"/>
      <c r="BF211" s="726"/>
      <c r="BG211" s="726"/>
    </row>
    <row r="212" spans="1:59" x14ac:dyDescent="0.25">
      <c r="A212" s="727" t="s">
        <v>273</v>
      </c>
      <c r="B212" s="728">
        <v>753</v>
      </c>
      <c r="C212" s="725">
        <f t="shared" si="4"/>
        <v>47.008254313836886</v>
      </c>
      <c r="D212" s="92"/>
      <c r="E212" s="726"/>
      <c r="F212" s="726"/>
      <c r="G212" s="726"/>
      <c r="H212" s="726"/>
      <c r="I212" s="745"/>
      <c r="K212" s="726"/>
      <c r="L212" s="726"/>
      <c r="M212" s="726"/>
      <c r="N212" s="726"/>
      <c r="O212" s="726"/>
      <c r="P212" s="726"/>
      <c r="Q212" s="726"/>
      <c r="R212" s="726"/>
      <c r="S212" s="726"/>
      <c r="T212" s="726"/>
      <c r="U212" s="726"/>
      <c r="V212" s="726"/>
      <c r="W212" s="726"/>
      <c r="X212" s="726"/>
      <c r="Y212" s="726"/>
      <c r="Z212" s="726"/>
      <c r="AA212" s="726"/>
      <c r="AB212" s="726"/>
      <c r="AC212" s="726"/>
      <c r="AD212" s="726"/>
      <c r="AE212" s="726"/>
      <c r="AF212" s="726"/>
      <c r="AG212" s="726"/>
      <c r="AH212" s="726"/>
      <c r="AI212" s="726"/>
      <c r="AJ212" s="726"/>
      <c r="AK212" s="726"/>
      <c r="AL212" s="726"/>
      <c r="AM212" s="726"/>
      <c r="AN212" s="726"/>
      <c r="AO212" s="726"/>
      <c r="AP212" s="726"/>
      <c r="AQ212" s="726"/>
      <c r="AR212" s="726"/>
      <c r="AS212" s="726"/>
      <c r="AT212" s="726"/>
      <c r="AU212" s="726"/>
      <c r="AV212" s="726"/>
      <c r="AW212" s="726"/>
      <c r="AX212" s="726"/>
      <c r="AY212" s="726"/>
      <c r="AZ212" s="726"/>
      <c r="BA212" s="726"/>
      <c r="BB212" s="726"/>
      <c r="BC212" s="726"/>
      <c r="BD212" s="726"/>
      <c r="BE212" s="726"/>
      <c r="BF212" s="726"/>
      <c r="BG212" s="726"/>
    </row>
    <row r="213" spans="1:59" x14ac:dyDescent="0.25">
      <c r="A213" s="727" t="s">
        <v>274</v>
      </c>
      <c r="B213" s="728">
        <v>1762</v>
      </c>
      <c r="C213" s="725">
        <f t="shared" si="4"/>
        <v>109.99806653516679</v>
      </c>
      <c r="D213" s="92"/>
      <c r="E213" s="726"/>
      <c r="F213" s="726"/>
      <c r="G213" s="726"/>
      <c r="H213" s="726"/>
      <c r="I213" s="745"/>
      <c r="K213" s="726"/>
      <c r="L213" s="726"/>
      <c r="M213" s="726"/>
      <c r="N213" s="726"/>
      <c r="O213" s="726"/>
      <c r="P213" s="726"/>
      <c r="Q213" s="726"/>
      <c r="R213" s="726"/>
      <c r="S213" s="726"/>
      <c r="T213" s="726"/>
      <c r="U213" s="726"/>
      <c r="V213" s="726"/>
      <c r="W213" s="726"/>
      <c r="X213" s="726"/>
      <c r="Y213" s="726"/>
      <c r="Z213" s="726"/>
      <c r="AA213" s="726"/>
      <c r="AB213" s="726"/>
      <c r="AC213" s="726"/>
      <c r="AD213" s="726"/>
      <c r="AE213" s="726"/>
      <c r="AF213" s="726"/>
      <c r="AG213" s="726"/>
      <c r="AH213" s="726"/>
      <c r="AI213" s="726"/>
      <c r="AJ213" s="726"/>
      <c r="AK213" s="726"/>
      <c r="AL213" s="726"/>
      <c r="AM213" s="726"/>
      <c r="AN213" s="726"/>
      <c r="AO213" s="726"/>
      <c r="AP213" s="726"/>
      <c r="AQ213" s="726"/>
      <c r="AR213" s="726"/>
      <c r="AS213" s="726"/>
      <c r="AT213" s="726"/>
      <c r="AU213" s="726"/>
      <c r="AV213" s="726"/>
      <c r="AW213" s="726"/>
      <c r="AX213" s="726"/>
      <c r="AY213" s="726"/>
      <c r="AZ213" s="726"/>
      <c r="BA213" s="726"/>
      <c r="BB213" s="726"/>
      <c r="BC213" s="726"/>
      <c r="BD213" s="726"/>
      <c r="BE213" s="726"/>
      <c r="BF213" s="726"/>
      <c r="BG213" s="726"/>
    </row>
    <row r="214" spans="1:59" x14ac:dyDescent="0.25">
      <c r="A214" s="729" t="s">
        <v>275</v>
      </c>
      <c r="B214" s="730">
        <v>2339</v>
      </c>
      <c r="C214" s="725">
        <f t="shared" si="4"/>
        <v>146.01899978760224</v>
      </c>
      <c r="D214" s="92"/>
      <c r="E214" s="726"/>
      <c r="F214" s="726"/>
      <c r="G214" s="726"/>
      <c r="H214" s="726"/>
      <c r="I214" s="745"/>
      <c r="K214" s="726"/>
      <c r="L214" s="726"/>
      <c r="M214" s="726"/>
      <c r="N214" s="726"/>
      <c r="O214" s="726"/>
      <c r="P214" s="726"/>
      <c r="Q214" s="726"/>
      <c r="R214" s="726"/>
      <c r="S214" s="726"/>
      <c r="T214" s="726"/>
      <c r="U214" s="726"/>
      <c r="V214" s="726"/>
      <c r="W214" s="726"/>
      <c r="X214" s="726"/>
      <c r="Y214" s="726"/>
      <c r="Z214" s="726"/>
      <c r="AA214" s="726"/>
      <c r="AB214" s="726"/>
      <c r="AC214" s="726"/>
      <c r="AD214" s="726"/>
      <c r="AE214" s="726"/>
      <c r="AF214" s="726"/>
      <c r="AG214" s="726"/>
      <c r="AH214" s="726"/>
      <c r="AI214" s="726"/>
      <c r="AJ214" s="726"/>
      <c r="AK214" s="726"/>
      <c r="AL214" s="726"/>
      <c r="AM214" s="726"/>
      <c r="AN214" s="726"/>
      <c r="AO214" s="726"/>
      <c r="AP214" s="726"/>
      <c r="AQ214" s="726"/>
      <c r="AR214" s="726"/>
      <c r="AS214" s="726"/>
      <c r="AT214" s="726"/>
      <c r="AU214" s="726"/>
      <c r="AV214" s="726"/>
      <c r="AW214" s="726"/>
      <c r="AX214" s="726"/>
      <c r="AY214" s="726"/>
      <c r="AZ214" s="726"/>
      <c r="BA214" s="726"/>
      <c r="BB214" s="726"/>
      <c r="BC214" s="726"/>
      <c r="BD214" s="726"/>
      <c r="BE214" s="726"/>
      <c r="BF214" s="726"/>
      <c r="BG214" s="726"/>
    </row>
    <row r="215" spans="1:59" s="14" customFormat="1" ht="13" x14ac:dyDescent="0.3">
      <c r="A215" s="738" t="s">
        <v>1439</v>
      </c>
      <c r="B215" s="739" t="s">
        <v>30</v>
      </c>
      <c r="C215" s="740" t="s">
        <v>37</v>
      </c>
      <c r="E215" s="733"/>
      <c r="F215" s="733"/>
      <c r="G215" s="733"/>
      <c r="H215" s="733"/>
      <c r="I215" s="743"/>
      <c r="K215" s="733"/>
      <c r="L215" s="733"/>
      <c r="M215" s="733"/>
      <c r="N215" s="733"/>
      <c r="O215" s="733"/>
      <c r="P215" s="733"/>
      <c r="Q215" s="733"/>
      <c r="R215" s="733"/>
      <c r="S215" s="733"/>
      <c r="T215" s="733"/>
      <c r="U215" s="733"/>
      <c r="V215" s="733"/>
      <c r="W215" s="733"/>
      <c r="X215" s="733"/>
      <c r="Y215" s="733"/>
      <c r="Z215" s="733"/>
      <c r="AA215" s="733"/>
      <c r="AB215" s="733"/>
      <c r="AC215" s="733"/>
      <c r="AD215" s="733"/>
      <c r="AE215" s="733"/>
      <c r="AF215" s="733"/>
      <c r="AG215" s="733"/>
      <c r="AH215" s="733"/>
      <c r="AI215" s="733"/>
      <c r="AJ215" s="733"/>
      <c r="AK215" s="733"/>
      <c r="AL215" s="733"/>
      <c r="AM215" s="733"/>
      <c r="AN215" s="733"/>
      <c r="AO215" s="733"/>
      <c r="AP215" s="733"/>
      <c r="AQ215" s="733"/>
      <c r="AR215" s="733"/>
      <c r="AS215" s="733"/>
      <c r="AT215" s="733"/>
      <c r="AU215" s="733"/>
      <c r="AV215" s="733"/>
      <c r="AW215" s="733"/>
      <c r="AX215" s="733"/>
      <c r="AY215" s="733"/>
      <c r="AZ215" s="733"/>
      <c r="BA215" s="733"/>
      <c r="BB215" s="733"/>
      <c r="BC215" s="733"/>
      <c r="BD215" s="733"/>
      <c r="BE215" s="733"/>
      <c r="BF215" s="733"/>
      <c r="BG215" s="733"/>
    </row>
    <row r="216" spans="1:59" x14ac:dyDescent="0.25">
      <c r="A216" s="719" t="s">
        <v>276</v>
      </c>
      <c r="B216" s="732">
        <v>1153</v>
      </c>
      <c r="C216" s="725">
        <f t="shared" si="4"/>
        <v>71.979438544294723</v>
      </c>
      <c r="D216" s="92"/>
      <c r="E216" s="726"/>
      <c r="F216" s="726"/>
      <c r="G216" s="726"/>
      <c r="H216" s="726"/>
      <c r="I216" s="745"/>
      <c r="K216" s="726"/>
      <c r="L216" s="726"/>
      <c r="M216" s="726"/>
      <c r="N216" s="726"/>
      <c r="O216" s="726"/>
      <c r="P216" s="726"/>
      <c r="Q216" s="726"/>
      <c r="R216" s="726"/>
      <c r="S216" s="726"/>
      <c r="T216" s="726"/>
      <c r="U216" s="726"/>
      <c r="V216" s="726"/>
      <c r="W216" s="726"/>
      <c r="X216" s="726"/>
      <c r="Y216" s="726"/>
      <c r="Z216" s="726"/>
      <c r="AA216" s="726"/>
      <c r="AB216" s="726"/>
      <c r="AC216" s="726"/>
      <c r="AD216" s="726"/>
      <c r="AE216" s="726"/>
      <c r="AF216" s="726"/>
      <c r="AG216" s="726"/>
      <c r="AH216" s="726"/>
      <c r="AI216" s="726"/>
      <c r="AJ216" s="726"/>
      <c r="AK216" s="726"/>
      <c r="AL216" s="726"/>
      <c r="AM216" s="726"/>
      <c r="AN216" s="726"/>
      <c r="AO216" s="726"/>
      <c r="AP216" s="726"/>
      <c r="AQ216" s="726"/>
      <c r="AR216" s="726"/>
      <c r="AS216" s="726"/>
      <c r="AT216" s="726"/>
      <c r="AU216" s="726"/>
      <c r="AV216" s="726"/>
      <c r="AW216" s="726"/>
      <c r="AX216" s="726"/>
      <c r="AY216" s="726"/>
      <c r="AZ216" s="726"/>
      <c r="BA216" s="726"/>
      <c r="BB216" s="726"/>
      <c r="BC216" s="726"/>
      <c r="BD216" s="726"/>
      <c r="BE216" s="726"/>
      <c r="BF216" s="726"/>
      <c r="BG216" s="726"/>
    </row>
    <row r="217" spans="1:59" x14ac:dyDescent="0.25">
      <c r="A217" s="719" t="s">
        <v>277</v>
      </c>
      <c r="B217" s="732">
        <v>849</v>
      </c>
      <c r="C217" s="725">
        <f t="shared" si="4"/>
        <v>53.001338529146764</v>
      </c>
      <c r="D217" s="92"/>
      <c r="E217" s="726"/>
      <c r="F217" s="726"/>
      <c r="G217" s="726"/>
      <c r="H217" s="726"/>
      <c r="I217" s="745"/>
      <c r="K217" s="726"/>
      <c r="L217" s="726"/>
      <c r="M217" s="726"/>
      <c r="N217" s="726"/>
      <c r="O217" s="726"/>
      <c r="P217" s="726"/>
      <c r="Q217" s="726"/>
      <c r="R217" s="726"/>
      <c r="S217" s="726"/>
      <c r="T217" s="726"/>
      <c r="U217" s="726"/>
      <c r="V217" s="726"/>
      <c r="W217" s="726"/>
      <c r="X217" s="726"/>
      <c r="Y217" s="726"/>
      <c r="Z217" s="726"/>
      <c r="AA217" s="726"/>
      <c r="AB217" s="726"/>
      <c r="AC217" s="726"/>
      <c r="AD217" s="726"/>
      <c r="AE217" s="726"/>
      <c r="AF217" s="726"/>
      <c r="AG217" s="726"/>
      <c r="AH217" s="726"/>
      <c r="AI217" s="726"/>
      <c r="AJ217" s="726"/>
      <c r="AK217" s="726"/>
      <c r="AL217" s="726"/>
      <c r="AM217" s="726"/>
      <c r="AN217" s="726"/>
      <c r="AO217" s="726"/>
      <c r="AP217" s="726"/>
      <c r="AQ217" s="726"/>
      <c r="AR217" s="726"/>
      <c r="AS217" s="726"/>
      <c r="AT217" s="726"/>
      <c r="AU217" s="726"/>
      <c r="AV217" s="726"/>
      <c r="AW217" s="726"/>
      <c r="AX217" s="726"/>
      <c r="AY217" s="726"/>
      <c r="AZ217" s="726"/>
      <c r="BA217" s="726"/>
      <c r="BB217" s="726"/>
      <c r="BC217" s="726"/>
      <c r="BD217" s="726"/>
      <c r="BE217" s="726"/>
      <c r="BF217" s="726"/>
      <c r="BG217" s="726"/>
    </row>
    <row r="218" spans="1:59" x14ac:dyDescent="0.25">
      <c r="A218" s="28" t="s">
        <v>278</v>
      </c>
      <c r="B218" s="732">
        <v>2600</v>
      </c>
      <c r="C218" s="725">
        <f t="shared" si="4"/>
        <v>162.31269749797596</v>
      </c>
      <c r="D218" s="92"/>
      <c r="E218" s="726"/>
      <c r="F218" s="726"/>
      <c r="G218" s="726"/>
      <c r="H218" s="726"/>
      <c r="I218" s="745"/>
      <c r="K218" s="726"/>
      <c r="L218" s="726"/>
      <c r="M218" s="726"/>
      <c r="N218" s="726"/>
      <c r="O218" s="726"/>
      <c r="P218" s="726"/>
      <c r="Q218" s="726"/>
      <c r="R218" s="726"/>
      <c r="S218" s="726"/>
      <c r="T218" s="726"/>
      <c r="U218" s="726"/>
      <c r="V218" s="726"/>
      <c r="W218" s="726"/>
      <c r="X218" s="726"/>
      <c r="Y218" s="726"/>
      <c r="Z218" s="726"/>
      <c r="AA218" s="726"/>
      <c r="AB218" s="726"/>
      <c r="AC218" s="726"/>
      <c r="AD218" s="726"/>
      <c r="AE218" s="726"/>
      <c r="AF218" s="726"/>
      <c r="AG218" s="726"/>
      <c r="AH218" s="726"/>
      <c r="AI218" s="726"/>
      <c r="AJ218" s="726"/>
      <c r="AK218" s="726"/>
      <c r="AL218" s="726"/>
      <c r="AM218" s="726"/>
      <c r="AN218" s="726"/>
      <c r="AO218" s="726"/>
      <c r="AP218" s="726"/>
      <c r="AQ218" s="726"/>
      <c r="AR218" s="726"/>
      <c r="AS218" s="726"/>
      <c r="AT218" s="726"/>
      <c r="AU218" s="726"/>
      <c r="AV218" s="726"/>
      <c r="AW218" s="726"/>
      <c r="AX218" s="726"/>
      <c r="AY218" s="726"/>
      <c r="AZ218" s="726"/>
      <c r="BA218" s="726"/>
      <c r="BB218" s="726"/>
      <c r="BC218" s="726"/>
      <c r="BD218" s="726"/>
      <c r="BE218" s="726"/>
      <c r="BF218" s="726"/>
      <c r="BG218" s="726"/>
    </row>
    <row r="219" spans="1:59" x14ac:dyDescent="0.25">
      <c r="A219" s="28" t="s">
        <v>279</v>
      </c>
      <c r="B219" s="732">
        <v>577</v>
      </c>
      <c r="C219" s="725">
        <f t="shared" si="4"/>
        <v>36.020933252435441</v>
      </c>
      <c r="D219" s="92"/>
      <c r="E219" s="726"/>
      <c r="F219" s="726"/>
      <c r="G219" s="726"/>
      <c r="H219" s="726"/>
      <c r="I219" s="745"/>
      <c r="K219" s="726"/>
      <c r="L219" s="726"/>
      <c r="M219" s="726"/>
      <c r="N219" s="726"/>
      <c r="O219" s="726"/>
      <c r="P219" s="726"/>
      <c r="Q219" s="726"/>
      <c r="R219" s="726"/>
      <c r="S219" s="726"/>
      <c r="T219" s="726"/>
      <c r="U219" s="726"/>
      <c r="V219" s="726"/>
      <c r="W219" s="726"/>
      <c r="X219" s="726"/>
      <c r="Y219" s="726"/>
      <c r="Z219" s="726"/>
      <c r="AA219" s="726"/>
      <c r="AB219" s="726"/>
      <c r="AC219" s="726"/>
      <c r="AD219" s="726"/>
      <c r="AE219" s="726"/>
      <c r="AF219" s="726"/>
      <c r="AG219" s="726"/>
      <c r="AH219" s="726"/>
      <c r="AI219" s="726"/>
      <c r="AJ219" s="726"/>
      <c r="AK219" s="726"/>
      <c r="AL219" s="726"/>
      <c r="AM219" s="726"/>
      <c r="AN219" s="726"/>
      <c r="AO219" s="726"/>
      <c r="AP219" s="726"/>
      <c r="AQ219" s="726"/>
      <c r="AR219" s="726"/>
      <c r="AS219" s="726"/>
      <c r="AT219" s="726"/>
      <c r="AU219" s="726"/>
      <c r="AV219" s="726"/>
      <c r="AW219" s="726"/>
      <c r="AX219" s="726"/>
      <c r="AY219" s="726"/>
      <c r="AZ219" s="726"/>
      <c r="BA219" s="726"/>
      <c r="BB219" s="726"/>
      <c r="BC219" s="726"/>
      <c r="BD219" s="726"/>
      <c r="BE219" s="726"/>
      <c r="BF219" s="726"/>
      <c r="BG219" s="726"/>
    </row>
    <row r="220" spans="1:59" x14ac:dyDescent="0.25">
      <c r="A220" s="28" t="s">
        <v>77</v>
      </c>
      <c r="B220" s="732">
        <v>500</v>
      </c>
      <c r="C220" s="725">
        <f t="shared" si="4"/>
        <v>31.213980288072303</v>
      </c>
      <c r="D220" s="92"/>
      <c r="E220" s="726"/>
      <c r="F220" s="726"/>
      <c r="G220" s="726"/>
      <c r="H220" s="726"/>
      <c r="I220" s="745"/>
      <c r="K220" s="726"/>
      <c r="L220" s="726"/>
      <c r="M220" s="726"/>
      <c r="N220" s="726"/>
      <c r="O220" s="726"/>
      <c r="P220" s="726"/>
      <c r="Q220" s="726"/>
      <c r="R220" s="726"/>
      <c r="S220" s="726"/>
      <c r="T220" s="726"/>
      <c r="U220" s="726"/>
      <c r="V220" s="726"/>
      <c r="W220" s="726"/>
      <c r="X220" s="726"/>
      <c r="Y220" s="726"/>
      <c r="Z220" s="726"/>
      <c r="AA220" s="726"/>
      <c r="AB220" s="726"/>
      <c r="AC220" s="726"/>
      <c r="AD220" s="726"/>
      <c r="AE220" s="726"/>
      <c r="AF220" s="726"/>
      <c r="AG220" s="726"/>
      <c r="AH220" s="726"/>
      <c r="AI220" s="726"/>
      <c r="AJ220" s="726"/>
      <c r="AK220" s="726"/>
      <c r="AL220" s="726"/>
      <c r="AM220" s="726"/>
      <c r="AN220" s="726"/>
      <c r="AO220" s="726"/>
      <c r="AP220" s="726"/>
      <c r="AQ220" s="726"/>
      <c r="AR220" s="726"/>
      <c r="AS220" s="726"/>
      <c r="AT220" s="726"/>
      <c r="AU220" s="726"/>
      <c r="AV220" s="726"/>
      <c r="AW220" s="726"/>
      <c r="AX220" s="726"/>
      <c r="AY220" s="726"/>
      <c r="AZ220" s="726"/>
      <c r="BA220" s="726"/>
      <c r="BB220" s="726"/>
      <c r="BC220" s="726"/>
      <c r="BD220" s="726"/>
      <c r="BE220" s="726"/>
      <c r="BF220" s="726"/>
      <c r="BG220" s="726"/>
    </row>
    <row r="221" spans="1:59" x14ac:dyDescent="0.25">
      <c r="A221" s="727" t="s">
        <v>78</v>
      </c>
      <c r="B221" s="728">
        <v>596</v>
      </c>
      <c r="C221" s="725">
        <f t="shared" si="4"/>
        <v>37.207064503382185</v>
      </c>
      <c r="D221" s="92"/>
      <c r="E221" s="726"/>
      <c r="F221" s="726"/>
      <c r="G221" s="726"/>
      <c r="H221" s="726"/>
      <c r="I221" s="745"/>
      <c r="K221" s="726"/>
      <c r="L221" s="726"/>
      <c r="M221" s="726"/>
      <c r="N221" s="726"/>
      <c r="O221" s="726"/>
      <c r="P221" s="726"/>
      <c r="Q221" s="726"/>
      <c r="R221" s="726"/>
      <c r="S221" s="726"/>
      <c r="T221" s="726"/>
      <c r="U221" s="726"/>
      <c r="V221" s="726"/>
      <c r="W221" s="726"/>
      <c r="X221" s="726"/>
      <c r="Y221" s="726"/>
      <c r="Z221" s="726"/>
      <c r="AA221" s="726"/>
      <c r="AB221" s="726"/>
      <c r="AC221" s="726"/>
      <c r="AD221" s="726"/>
      <c r="AE221" s="726"/>
      <c r="AF221" s="726"/>
      <c r="AG221" s="726"/>
      <c r="AH221" s="726"/>
      <c r="AI221" s="726"/>
      <c r="AJ221" s="726"/>
      <c r="AK221" s="726"/>
      <c r="AL221" s="726"/>
      <c r="AM221" s="726"/>
      <c r="AN221" s="726"/>
      <c r="AO221" s="726"/>
      <c r="AP221" s="726"/>
      <c r="AQ221" s="726"/>
      <c r="AR221" s="726"/>
      <c r="AS221" s="726"/>
      <c r="AT221" s="726"/>
      <c r="AU221" s="726"/>
      <c r="AV221" s="726"/>
      <c r="AW221" s="726"/>
      <c r="AX221" s="726"/>
      <c r="AY221" s="726"/>
      <c r="AZ221" s="726"/>
      <c r="BA221" s="726"/>
      <c r="BB221" s="726"/>
      <c r="BC221" s="726"/>
      <c r="BD221" s="726"/>
      <c r="BE221" s="726"/>
      <c r="BF221" s="726"/>
      <c r="BG221" s="726"/>
    </row>
    <row r="222" spans="1:59" x14ac:dyDescent="0.25">
      <c r="A222" s="727" t="s">
        <v>63</v>
      </c>
      <c r="B222" s="728">
        <v>682</v>
      </c>
      <c r="C222" s="725">
        <f t="shared" si="4"/>
        <v>42.575869112930619</v>
      </c>
      <c r="D222" s="92"/>
      <c r="E222" s="726"/>
      <c r="F222" s="726"/>
      <c r="G222" s="726"/>
      <c r="H222" s="726"/>
      <c r="I222" s="745"/>
      <c r="K222" s="726"/>
      <c r="L222" s="726"/>
      <c r="M222" s="726"/>
      <c r="N222" s="726"/>
      <c r="O222" s="726"/>
      <c r="P222" s="726"/>
      <c r="Q222" s="726"/>
      <c r="R222" s="726"/>
      <c r="S222" s="726"/>
      <c r="T222" s="726"/>
      <c r="U222" s="726"/>
      <c r="V222" s="726"/>
      <c r="W222" s="726"/>
      <c r="X222" s="726"/>
      <c r="Y222" s="726"/>
      <c r="Z222" s="726"/>
      <c r="AA222" s="726"/>
      <c r="AB222" s="726"/>
      <c r="AC222" s="726"/>
      <c r="AD222" s="726"/>
      <c r="AE222" s="726"/>
      <c r="AF222" s="726"/>
      <c r="AG222" s="726"/>
      <c r="AH222" s="726"/>
      <c r="AI222" s="726"/>
      <c r="AJ222" s="726"/>
      <c r="AK222" s="726"/>
      <c r="AL222" s="726"/>
      <c r="AM222" s="726"/>
      <c r="AN222" s="726"/>
      <c r="AO222" s="726"/>
      <c r="AP222" s="726"/>
      <c r="AQ222" s="726"/>
      <c r="AR222" s="726"/>
      <c r="AS222" s="726"/>
      <c r="AT222" s="726"/>
      <c r="AU222" s="726"/>
      <c r="AV222" s="726"/>
      <c r="AW222" s="726"/>
      <c r="AX222" s="726"/>
      <c r="AY222" s="726"/>
      <c r="AZ222" s="726"/>
      <c r="BA222" s="726"/>
      <c r="BB222" s="726"/>
      <c r="BC222" s="726"/>
      <c r="BD222" s="726"/>
      <c r="BE222" s="726"/>
      <c r="BF222" s="726"/>
      <c r="BG222" s="726"/>
    </row>
    <row r="223" spans="1:59" x14ac:dyDescent="0.25">
      <c r="A223" s="729" t="s">
        <v>64</v>
      </c>
      <c r="B223" s="730">
        <v>583</v>
      </c>
      <c r="C223" s="725">
        <f t="shared" si="4"/>
        <v>36.3955010158923</v>
      </c>
      <c r="D223" s="92"/>
      <c r="E223" s="726"/>
      <c r="F223" s="726"/>
      <c r="G223" s="726"/>
      <c r="H223" s="726"/>
      <c r="I223" s="745"/>
      <c r="K223" s="726"/>
      <c r="L223" s="726"/>
      <c r="M223" s="726"/>
      <c r="N223" s="726"/>
      <c r="O223" s="726"/>
      <c r="P223" s="726"/>
      <c r="Q223" s="726"/>
      <c r="R223" s="726"/>
      <c r="S223" s="726"/>
      <c r="T223" s="726"/>
      <c r="U223" s="726"/>
      <c r="V223" s="726"/>
      <c r="W223" s="726"/>
      <c r="X223" s="726"/>
      <c r="Y223" s="726"/>
      <c r="Z223" s="726"/>
      <c r="AA223" s="726"/>
      <c r="AB223" s="726"/>
      <c r="AC223" s="726"/>
      <c r="AD223" s="726"/>
      <c r="AE223" s="726"/>
      <c r="AF223" s="726"/>
      <c r="AG223" s="726"/>
      <c r="AH223" s="726"/>
      <c r="AI223" s="726"/>
      <c r="AJ223" s="726"/>
      <c r="AK223" s="726"/>
      <c r="AL223" s="726"/>
      <c r="AM223" s="726"/>
      <c r="AN223" s="726"/>
      <c r="AO223" s="726"/>
      <c r="AP223" s="726"/>
      <c r="AQ223" s="726"/>
      <c r="AR223" s="726"/>
      <c r="AS223" s="726"/>
      <c r="AT223" s="726"/>
      <c r="AU223" s="726"/>
      <c r="AV223" s="726"/>
      <c r="AW223" s="726"/>
      <c r="AX223" s="726"/>
      <c r="AY223" s="726"/>
      <c r="AZ223" s="726"/>
      <c r="BA223" s="726"/>
      <c r="BB223" s="726"/>
      <c r="BC223" s="726"/>
      <c r="BD223" s="726"/>
      <c r="BE223" s="726"/>
      <c r="BF223" s="726"/>
      <c r="BG223" s="726"/>
    </row>
    <row r="224" spans="1:59" x14ac:dyDescent="0.25">
      <c r="A224" s="729" t="s">
        <v>60</v>
      </c>
      <c r="B224" s="730">
        <v>500</v>
      </c>
      <c r="C224" s="725">
        <f t="shared" si="4"/>
        <v>31.213980288072303</v>
      </c>
      <c r="D224" s="92"/>
      <c r="E224" s="726"/>
      <c r="F224" s="726"/>
      <c r="G224" s="726"/>
      <c r="H224" s="726"/>
      <c r="I224" s="745"/>
      <c r="K224" s="726"/>
      <c r="L224" s="726"/>
      <c r="M224" s="726"/>
      <c r="N224" s="726"/>
      <c r="O224" s="726"/>
      <c r="P224" s="726"/>
      <c r="Q224" s="726"/>
      <c r="R224" s="726"/>
      <c r="S224" s="726"/>
      <c r="T224" s="726"/>
      <c r="U224" s="726"/>
      <c r="V224" s="726"/>
      <c r="W224" s="726"/>
      <c r="X224" s="726"/>
      <c r="Y224" s="726"/>
      <c r="Z224" s="726"/>
      <c r="AA224" s="726"/>
      <c r="AB224" s="726"/>
      <c r="AC224" s="726"/>
      <c r="AD224" s="726"/>
      <c r="AE224" s="726"/>
      <c r="AF224" s="726"/>
      <c r="AG224" s="726"/>
      <c r="AH224" s="726"/>
      <c r="AI224" s="726"/>
      <c r="AJ224" s="726"/>
      <c r="AK224" s="726"/>
      <c r="AL224" s="726"/>
      <c r="AM224" s="726"/>
      <c r="AN224" s="726"/>
      <c r="AO224" s="726"/>
      <c r="AP224" s="726"/>
      <c r="AQ224" s="726"/>
      <c r="AR224" s="726"/>
      <c r="AS224" s="726"/>
      <c r="AT224" s="726"/>
      <c r="AU224" s="726"/>
      <c r="AV224" s="726"/>
      <c r="AW224" s="726"/>
      <c r="AX224" s="726"/>
      <c r="AY224" s="726"/>
      <c r="AZ224" s="726"/>
      <c r="BA224" s="726"/>
      <c r="BB224" s="726"/>
      <c r="BC224" s="726"/>
      <c r="BD224" s="726"/>
      <c r="BE224" s="726"/>
      <c r="BF224" s="726"/>
      <c r="BG224" s="726"/>
    </row>
    <row r="225" spans="1:59" x14ac:dyDescent="0.25">
      <c r="A225" s="727" t="s">
        <v>280</v>
      </c>
      <c r="B225" s="728">
        <v>2403</v>
      </c>
      <c r="C225" s="725">
        <f t="shared" si="4"/>
        <v>150.01438926447548</v>
      </c>
      <c r="D225" s="92"/>
      <c r="E225" s="726"/>
      <c r="F225" s="726"/>
      <c r="G225" s="726"/>
      <c r="H225" s="726"/>
      <c r="I225" s="745"/>
      <c r="K225" s="726"/>
      <c r="L225" s="726"/>
      <c r="M225" s="726"/>
      <c r="N225" s="726"/>
      <c r="O225" s="726"/>
      <c r="P225" s="726"/>
      <c r="Q225" s="726"/>
      <c r="R225" s="726"/>
      <c r="S225" s="726"/>
      <c r="T225" s="726"/>
      <c r="U225" s="726"/>
      <c r="V225" s="726"/>
      <c r="W225" s="726"/>
      <c r="X225" s="726"/>
      <c r="Y225" s="726"/>
      <c r="Z225" s="726"/>
      <c r="AA225" s="726"/>
      <c r="AB225" s="726"/>
      <c r="AC225" s="726"/>
      <c r="AD225" s="726"/>
      <c r="AE225" s="726"/>
      <c r="AF225" s="726"/>
      <c r="AG225" s="726"/>
      <c r="AH225" s="726"/>
      <c r="AI225" s="726"/>
      <c r="AJ225" s="726"/>
      <c r="AK225" s="726"/>
      <c r="AL225" s="726"/>
      <c r="AM225" s="726"/>
      <c r="AN225" s="726"/>
      <c r="AO225" s="726"/>
      <c r="AP225" s="726"/>
      <c r="AQ225" s="726"/>
      <c r="AR225" s="726"/>
      <c r="AS225" s="726"/>
      <c r="AT225" s="726"/>
      <c r="AU225" s="726"/>
      <c r="AV225" s="726"/>
      <c r="AW225" s="726"/>
      <c r="AX225" s="726"/>
      <c r="AY225" s="726"/>
      <c r="AZ225" s="726"/>
      <c r="BA225" s="726"/>
      <c r="BB225" s="726"/>
      <c r="BC225" s="726"/>
      <c r="BD225" s="726"/>
      <c r="BE225" s="726"/>
      <c r="BF225" s="726"/>
      <c r="BG225" s="726"/>
    </row>
    <row r="226" spans="1:59" x14ac:dyDescent="0.25">
      <c r="A226" s="729" t="s">
        <v>281</v>
      </c>
      <c r="B226" s="730">
        <v>1650</v>
      </c>
      <c r="C226" s="725">
        <f t="shared" si="4"/>
        <v>103.0061349506386</v>
      </c>
      <c r="D226" s="92"/>
      <c r="E226" s="726"/>
      <c r="F226" s="726"/>
      <c r="G226" s="726"/>
      <c r="H226" s="726"/>
      <c r="I226" s="745"/>
      <c r="K226" s="726"/>
      <c r="L226" s="726"/>
      <c r="M226" s="726"/>
      <c r="N226" s="726"/>
      <c r="O226" s="726"/>
      <c r="P226" s="726"/>
      <c r="Q226" s="726"/>
      <c r="R226" s="726"/>
      <c r="S226" s="726"/>
      <c r="T226" s="726"/>
      <c r="U226" s="726"/>
      <c r="V226" s="726"/>
      <c r="W226" s="726"/>
      <c r="X226" s="726"/>
      <c r="Y226" s="726"/>
      <c r="Z226" s="726"/>
      <c r="AA226" s="726"/>
      <c r="AB226" s="726"/>
      <c r="AC226" s="726"/>
      <c r="AD226" s="726"/>
      <c r="AE226" s="726"/>
      <c r="AF226" s="726"/>
      <c r="AG226" s="726"/>
      <c r="AH226" s="726"/>
      <c r="AI226" s="726"/>
      <c r="AJ226" s="726"/>
      <c r="AK226" s="726"/>
      <c r="AL226" s="726"/>
      <c r="AM226" s="726"/>
      <c r="AN226" s="726"/>
      <c r="AO226" s="726"/>
      <c r="AP226" s="726"/>
      <c r="AQ226" s="726"/>
      <c r="AR226" s="726"/>
      <c r="AS226" s="726"/>
      <c r="AT226" s="726"/>
      <c r="AU226" s="726"/>
      <c r="AV226" s="726"/>
      <c r="AW226" s="726"/>
      <c r="AX226" s="726"/>
      <c r="AY226" s="726"/>
      <c r="AZ226" s="726"/>
      <c r="BA226" s="726"/>
      <c r="BB226" s="726"/>
      <c r="BC226" s="726"/>
      <c r="BD226" s="726"/>
      <c r="BE226" s="726"/>
      <c r="BF226" s="726"/>
      <c r="BG226" s="726"/>
    </row>
    <row r="227" spans="1:59" x14ac:dyDescent="0.25">
      <c r="A227" s="727" t="s">
        <v>282</v>
      </c>
      <c r="B227" s="728">
        <v>2547</v>
      </c>
      <c r="C227" s="725">
        <f t="shared" si="4"/>
        <v>159.00401558744031</v>
      </c>
      <c r="D227" s="92"/>
      <c r="E227" s="726"/>
      <c r="F227" s="726"/>
      <c r="G227" s="726"/>
      <c r="H227" s="726"/>
      <c r="I227" s="745"/>
      <c r="K227" s="726"/>
      <c r="L227" s="726"/>
      <c r="M227" s="726"/>
      <c r="N227" s="726"/>
      <c r="O227" s="726"/>
      <c r="P227" s="726"/>
      <c r="Q227" s="726"/>
      <c r="R227" s="726"/>
      <c r="S227" s="726"/>
      <c r="T227" s="726"/>
      <c r="U227" s="726"/>
      <c r="V227" s="726"/>
      <c r="W227" s="726"/>
      <c r="X227" s="726"/>
      <c r="Y227" s="726"/>
      <c r="Z227" s="726"/>
      <c r="AA227" s="726"/>
      <c r="AB227" s="726"/>
      <c r="AC227" s="726"/>
      <c r="AD227" s="726"/>
      <c r="AE227" s="726"/>
      <c r="AF227" s="726"/>
      <c r="AG227" s="726"/>
      <c r="AH227" s="726"/>
      <c r="AI227" s="726"/>
      <c r="AJ227" s="726"/>
      <c r="AK227" s="726"/>
      <c r="AL227" s="726"/>
      <c r="AM227" s="726"/>
      <c r="AN227" s="726"/>
      <c r="AO227" s="726"/>
      <c r="AP227" s="726"/>
      <c r="AQ227" s="726"/>
      <c r="AR227" s="726"/>
      <c r="AS227" s="726"/>
      <c r="AT227" s="726"/>
      <c r="AU227" s="726"/>
      <c r="AV227" s="726"/>
      <c r="AW227" s="726"/>
      <c r="AX227" s="726"/>
      <c r="AY227" s="726"/>
      <c r="AZ227" s="726"/>
      <c r="BA227" s="726"/>
      <c r="BB227" s="726"/>
      <c r="BC227" s="726"/>
      <c r="BD227" s="726"/>
      <c r="BE227" s="726"/>
      <c r="BF227" s="726"/>
      <c r="BG227" s="726"/>
    </row>
    <row r="228" spans="1:59" x14ac:dyDescent="0.25">
      <c r="A228" s="729" t="s">
        <v>283</v>
      </c>
      <c r="B228" s="730">
        <v>1281</v>
      </c>
      <c r="C228" s="725">
        <f t="shared" si="4"/>
        <v>79.970217498041237</v>
      </c>
      <c r="D228" s="92"/>
      <c r="E228" s="726"/>
      <c r="F228" s="726"/>
      <c r="G228" s="726"/>
      <c r="H228" s="726"/>
      <c r="I228" s="745"/>
      <c r="K228" s="726"/>
      <c r="L228" s="726"/>
      <c r="M228" s="726"/>
      <c r="N228" s="726"/>
      <c r="O228" s="726"/>
      <c r="P228" s="726"/>
      <c r="Q228" s="726"/>
      <c r="R228" s="726"/>
      <c r="S228" s="726"/>
      <c r="T228" s="726"/>
      <c r="U228" s="726"/>
      <c r="V228" s="726"/>
      <c r="W228" s="726"/>
      <c r="X228" s="726"/>
      <c r="Y228" s="726"/>
      <c r="Z228" s="726"/>
      <c r="AA228" s="726"/>
      <c r="AB228" s="726"/>
      <c r="AC228" s="726"/>
      <c r="AD228" s="726"/>
      <c r="AE228" s="726"/>
      <c r="AF228" s="726"/>
      <c r="AG228" s="726"/>
      <c r="AH228" s="726"/>
      <c r="AI228" s="726"/>
      <c r="AJ228" s="726"/>
      <c r="AK228" s="726"/>
      <c r="AL228" s="726"/>
      <c r="AM228" s="726"/>
      <c r="AN228" s="726"/>
      <c r="AO228" s="726"/>
      <c r="AP228" s="726"/>
      <c r="AQ228" s="726"/>
      <c r="AR228" s="726"/>
      <c r="AS228" s="726"/>
      <c r="AT228" s="726"/>
      <c r="AU228" s="726"/>
      <c r="AV228" s="726"/>
      <c r="AW228" s="726"/>
      <c r="AX228" s="726"/>
      <c r="AY228" s="726"/>
      <c r="AZ228" s="726"/>
      <c r="BA228" s="726"/>
      <c r="BB228" s="726"/>
      <c r="BC228" s="726"/>
      <c r="BD228" s="726"/>
      <c r="BE228" s="726"/>
      <c r="BF228" s="726"/>
      <c r="BG228" s="726"/>
    </row>
    <row r="229" spans="1:59" x14ac:dyDescent="0.25">
      <c r="A229" s="727" t="s">
        <v>284</v>
      </c>
      <c r="B229" s="728">
        <v>2002</v>
      </c>
      <c r="C229" s="725">
        <f t="shared" si="4"/>
        <v>124.98077707344149</v>
      </c>
      <c r="D229" s="92"/>
      <c r="E229" s="726"/>
      <c r="F229" s="726"/>
      <c r="G229" s="726"/>
      <c r="H229" s="726"/>
      <c r="I229" s="745"/>
      <c r="K229" s="726"/>
      <c r="L229" s="726"/>
      <c r="M229" s="726"/>
      <c r="N229" s="726"/>
      <c r="O229" s="726"/>
      <c r="P229" s="726"/>
      <c r="Q229" s="726"/>
      <c r="R229" s="726"/>
      <c r="S229" s="726"/>
      <c r="T229" s="726"/>
      <c r="U229" s="726"/>
      <c r="V229" s="726"/>
      <c r="W229" s="726"/>
      <c r="X229" s="726"/>
      <c r="Y229" s="726"/>
      <c r="Z229" s="726"/>
      <c r="AA229" s="726"/>
      <c r="AB229" s="726"/>
      <c r="AC229" s="726"/>
      <c r="AD229" s="726"/>
      <c r="AE229" s="726"/>
      <c r="AF229" s="726"/>
      <c r="AG229" s="726"/>
      <c r="AH229" s="726"/>
      <c r="AI229" s="726"/>
      <c r="AJ229" s="726"/>
      <c r="AK229" s="726"/>
      <c r="AL229" s="726"/>
      <c r="AM229" s="726"/>
      <c r="AN229" s="726"/>
      <c r="AO229" s="726"/>
      <c r="AP229" s="726"/>
      <c r="AQ229" s="726"/>
      <c r="AR229" s="726"/>
      <c r="AS229" s="726"/>
      <c r="AT229" s="726"/>
      <c r="AU229" s="726"/>
      <c r="AV229" s="726"/>
      <c r="AW229" s="726"/>
      <c r="AX229" s="726"/>
      <c r="AY229" s="726"/>
      <c r="AZ229" s="726"/>
      <c r="BA229" s="726"/>
      <c r="BB229" s="726"/>
      <c r="BC229" s="726"/>
      <c r="BD229" s="726"/>
      <c r="BE229" s="726"/>
      <c r="BF229" s="726"/>
      <c r="BG229" s="726"/>
    </row>
    <row r="230" spans="1:59" x14ac:dyDescent="0.25">
      <c r="A230" s="729" t="s">
        <v>285</v>
      </c>
      <c r="B230" s="730">
        <v>769</v>
      </c>
      <c r="C230" s="725">
        <f t="shared" si="4"/>
        <v>48.007101683055197</v>
      </c>
      <c r="D230" s="92"/>
      <c r="E230" s="726"/>
      <c r="F230" s="726"/>
      <c r="G230" s="726"/>
      <c r="H230" s="726"/>
      <c r="I230" s="745"/>
      <c r="K230" s="726"/>
      <c r="L230" s="726"/>
      <c r="M230" s="726"/>
      <c r="N230" s="726"/>
      <c r="O230" s="726"/>
      <c r="P230" s="726"/>
      <c r="Q230" s="726"/>
      <c r="R230" s="726"/>
      <c r="S230" s="726"/>
      <c r="T230" s="726"/>
      <c r="U230" s="726"/>
      <c r="V230" s="726"/>
      <c r="W230" s="726"/>
      <c r="X230" s="726"/>
      <c r="Y230" s="726"/>
      <c r="Z230" s="726"/>
      <c r="AA230" s="726"/>
      <c r="AB230" s="726"/>
      <c r="AC230" s="726"/>
      <c r="AD230" s="726"/>
      <c r="AE230" s="726"/>
      <c r="AF230" s="726"/>
      <c r="AG230" s="726"/>
      <c r="AH230" s="726"/>
      <c r="AI230" s="726"/>
      <c r="AJ230" s="726"/>
      <c r="AK230" s="726"/>
      <c r="AL230" s="726"/>
      <c r="AM230" s="726"/>
      <c r="AN230" s="726"/>
      <c r="AO230" s="726"/>
      <c r="AP230" s="726"/>
      <c r="AQ230" s="726"/>
      <c r="AR230" s="726"/>
      <c r="AS230" s="726"/>
      <c r="AT230" s="726"/>
      <c r="AU230" s="726"/>
      <c r="AV230" s="726"/>
      <c r="AW230" s="726"/>
      <c r="AX230" s="726"/>
      <c r="AY230" s="726"/>
      <c r="AZ230" s="726"/>
      <c r="BA230" s="726"/>
      <c r="BB230" s="726"/>
      <c r="BC230" s="726"/>
      <c r="BD230" s="726"/>
      <c r="BE230" s="726"/>
      <c r="BF230" s="726"/>
      <c r="BG230" s="726"/>
    </row>
    <row r="231" spans="1:59" x14ac:dyDescent="0.25">
      <c r="A231" s="727" t="s">
        <v>286</v>
      </c>
      <c r="B231" s="728">
        <v>641</v>
      </c>
      <c r="C231" s="725">
        <f t="shared" si="4"/>
        <v>40.01632272930869</v>
      </c>
      <c r="D231" s="92"/>
      <c r="E231" s="726"/>
      <c r="F231" s="726"/>
      <c r="G231" s="726"/>
      <c r="H231" s="726"/>
      <c r="I231" s="745"/>
      <c r="K231" s="726"/>
      <c r="L231" s="726"/>
      <c r="M231" s="726"/>
      <c r="N231" s="726"/>
      <c r="O231" s="726"/>
      <c r="P231" s="726"/>
      <c r="Q231" s="726"/>
      <c r="R231" s="726"/>
      <c r="S231" s="726"/>
      <c r="T231" s="726"/>
      <c r="U231" s="726"/>
      <c r="V231" s="726"/>
      <c r="W231" s="726"/>
      <c r="X231" s="726"/>
      <c r="Y231" s="726"/>
      <c r="Z231" s="726"/>
      <c r="AA231" s="726"/>
      <c r="AB231" s="726"/>
      <c r="AC231" s="726"/>
      <c r="AD231" s="726"/>
      <c r="AE231" s="726"/>
      <c r="AF231" s="726"/>
      <c r="AG231" s="726"/>
      <c r="AH231" s="726"/>
      <c r="AI231" s="726"/>
      <c r="AJ231" s="726"/>
      <c r="AK231" s="726"/>
      <c r="AL231" s="726"/>
      <c r="AM231" s="726"/>
      <c r="AN231" s="726"/>
      <c r="AO231" s="726"/>
      <c r="AP231" s="726"/>
      <c r="AQ231" s="726"/>
      <c r="AR231" s="726"/>
      <c r="AS231" s="726"/>
      <c r="AT231" s="726"/>
      <c r="AU231" s="726"/>
      <c r="AV231" s="726"/>
      <c r="AW231" s="726"/>
      <c r="AX231" s="726"/>
      <c r="AY231" s="726"/>
      <c r="AZ231" s="726"/>
      <c r="BA231" s="726"/>
      <c r="BB231" s="726"/>
      <c r="BC231" s="726"/>
      <c r="BD231" s="726"/>
      <c r="BE231" s="726"/>
      <c r="BF231" s="726"/>
      <c r="BG231" s="726"/>
    </row>
    <row r="232" spans="1:59" x14ac:dyDescent="0.25">
      <c r="A232" s="729" t="s">
        <v>287</v>
      </c>
      <c r="B232" s="730">
        <v>3707</v>
      </c>
      <c r="C232" s="725">
        <f t="shared" si="4"/>
        <v>231.42044985576806</v>
      </c>
      <c r="D232" s="92"/>
      <c r="E232" s="726"/>
      <c r="F232" s="726"/>
      <c r="G232" s="726"/>
      <c r="H232" s="726"/>
      <c r="I232" s="745"/>
      <c r="K232" s="726"/>
      <c r="L232" s="726"/>
      <c r="M232" s="726"/>
      <c r="N232" s="726"/>
      <c r="O232" s="726"/>
      <c r="P232" s="726"/>
      <c r="Q232" s="726"/>
      <c r="R232" s="726"/>
      <c r="S232" s="726"/>
      <c r="T232" s="726"/>
      <c r="U232" s="726"/>
      <c r="V232" s="726"/>
      <c r="W232" s="726"/>
      <c r="X232" s="726"/>
      <c r="Y232" s="726"/>
      <c r="Z232" s="726"/>
      <c r="AA232" s="726"/>
      <c r="AB232" s="726"/>
      <c r="AC232" s="726"/>
      <c r="AD232" s="726"/>
      <c r="AE232" s="726"/>
      <c r="AF232" s="726"/>
      <c r="AG232" s="726"/>
      <c r="AH232" s="726"/>
      <c r="AI232" s="726"/>
      <c r="AJ232" s="726"/>
      <c r="AK232" s="726"/>
      <c r="AL232" s="726"/>
      <c r="AM232" s="726"/>
      <c r="AN232" s="726"/>
      <c r="AO232" s="726"/>
      <c r="AP232" s="726"/>
      <c r="AQ232" s="726"/>
      <c r="AR232" s="726"/>
      <c r="AS232" s="726"/>
      <c r="AT232" s="726"/>
      <c r="AU232" s="726"/>
      <c r="AV232" s="726"/>
      <c r="AW232" s="726"/>
      <c r="AX232" s="726"/>
      <c r="AY232" s="726"/>
      <c r="AZ232" s="726"/>
      <c r="BA232" s="726"/>
      <c r="BB232" s="726"/>
      <c r="BC232" s="726"/>
      <c r="BD232" s="726"/>
      <c r="BE232" s="726"/>
      <c r="BF232" s="726"/>
      <c r="BG232" s="726"/>
    </row>
    <row r="233" spans="1:59" x14ac:dyDescent="0.25">
      <c r="A233" s="727" t="s">
        <v>288</v>
      </c>
      <c r="B233" s="728">
        <v>1201</v>
      </c>
      <c r="C233" s="725">
        <f t="shared" si="4"/>
        <v>74.975980651949669</v>
      </c>
      <c r="D233" s="92"/>
      <c r="E233" s="726"/>
      <c r="F233" s="726"/>
      <c r="G233" s="726"/>
      <c r="H233" s="726"/>
      <c r="I233" s="745"/>
      <c r="K233" s="726"/>
      <c r="L233" s="726"/>
      <c r="M233" s="726"/>
      <c r="N233" s="726"/>
      <c r="O233" s="726"/>
      <c r="P233" s="726"/>
      <c r="Q233" s="726"/>
      <c r="R233" s="726"/>
      <c r="S233" s="726"/>
      <c r="T233" s="726"/>
      <c r="U233" s="726"/>
      <c r="V233" s="726"/>
      <c r="W233" s="726"/>
      <c r="X233" s="726"/>
      <c r="Y233" s="726"/>
      <c r="Z233" s="726"/>
      <c r="AA233" s="726"/>
      <c r="AB233" s="726"/>
      <c r="AC233" s="726"/>
      <c r="AD233" s="726"/>
      <c r="AE233" s="726"/>
      <c r="AF233" s="726"/>
      <c r="AG233" s="726"/>
      <c r="AH233" s="726"/>
      <c r="AI233" s="726"/>
      <c r="AJ233" s="726"/>
      <c r="AK233" s="726"/>
      <c r="AL233" s="726"/>
      <c r="AM233" s="726"/>
      <c r="AN233" s="726"/>
      <c r="AO233" s="726"/>
      <c r="AP233" s="726"/>
      <c r="AQ233" s="726"/>
      <c r="AR233" s="726"/>
      <c r="AS233" s="726"/>
      <c r="AT233" s="726"/>
      <c r="AU233" s="726"/>
      <c r="AV233" s="726"/>
      <c r="AW233" s="726"/>
      <c r="AX233" s="726"/>
      <c r="AY233" s="726"/>
      <c r="AZ233" s="726"/>
      <c r="BA233" s="726"/>
      <c r="BB233" s="726"/>
      <c r="BC233" s="726"/>
      <c r="BD233" s="726"/>
      <c r="BE233" s="726"/>
      <c r="BF233" s="726"/>
      <c r="BG233" s="726"/>
    </row>
    <row r="234" spans="1:59" x14ac:dyDescent="0.25">
      <c r="A234" s="727" t="s">
        <v>289</v>
      </c>
      <c r="B234" s="728">
        <v>1554</v>
      </c>
      <c r="C234" s="725">
        <f t="shared" si="4"/>
        <v>97.013050735328719</v>
      </c>
      <c r="D234" s="92"/>
      <c r="E234" s="726"/>
      <c r="F234" s="726"/>
      <c r="G234" s="726"/>
      <c r="H234" s="726"/>
      <c r="I234" s="745"/>
      <c r="K234" s="726"/>
      <c r="L234" s="726"/>
      <c r="M234" s="726"/>
      <c r="N234" s="726"/>
      <c r="O234" s="726"/>
      <c r="P234" s="726"/>
      <c r="Q234" s="726"/>
      <c r="R234" s="726"/>
      <c r="S234" s="726"/>
      <c r="T234" s="726"/>
      <c r="U234" s="726"/>
      <c r="V234" s="726"/>
      <c r="W234" s="726"/>
      <c r="X234" s="726"/>
      <c r="Y234" s="726"/>
      <c r="Z234" s="726"/>
      <c r="AA234" s="726"/>
      <c r="AB234" s="726"/>
      <c r="AC234" s="726"/>
      <c r="AD234" s="726"/>
      <c r="AE234" s="726"/>
      <c r="AF234" s="726"/>
      <c r="AG234" s="726"/>
      <c r="AH234" s="726"/>
      <c r="AI234" s="726"/>
      <c r="AJ234" s="726"/>
      <c r="AK234" s="726"/>
      <c r="AL234" s="726"/>
      <c r="AM234" s="726"/>
      <c r="AN234" s="726"/>
      <c r="AO234" s="726"/>
      <c r="AP234" s="726"/>
      <c r="AQ234" s="726"/>
      <c r="AR234" s="726"/>
      <c r="AS234" s="726"/>
      <c r="AT234" s="726"/>
      <c r="AU234" s="726"/>
      <c r="AV234" s="726"/>
      <c r="AW234" s="726"/>
      <c r="AX234" s="726"/>
      <c r="AY234" s="726"/>
      <c r="AZ234" s="726"/>
      <c r="BA234" s="726"/>
      <c r="BB234" s="726"/>
      <c r="BC234" s="726"/>
      <c r="BD234" s="726"/>
      <c r="BE234" s="726"/>
      <c r="BF234" s="726"/>
      <c r="BG234" s="726"/>
    </row>
    <row r="235" spans="1:59" x14ac:dyDescent="0.25">
      <c r="A235" s="729" t="s">
        <v>290</v>
      </c>
      <c r="B235" s="730">
        <v>2643</v>
      </c>
      <c r="C235" s="725">
        <f t="shared" si="4"/>
        <v>164.9970998027502</v>
      </c>
      <c r="D235" s="92"/>
      <c r="E235" s="726"/>
      <c r="F235" s="726"/>
      <c r="G235" s="726"/>
      <c r="H235" s="726"/>
      <c r="I235" s="745"/>
      <c r="K235" s="726"/>
      <c r="L235" s="726"/>
      <c r="M235" s="726"/>
      <c r="N235" s="726"/>
      <c r="O235" s="726"/>
      <c r="P235" s="726"/>
      <c r="Q235" s="726"/>
      <c r="R235" s="726"/>
      <c r="S235" s="726"/>
      <c r="T235" s="726"/>
      <c r="U235" s="726"/>
      <c r="V235" s="726"/>
      <c r="W235" s="726"/>
      <c r="X235" s="726"/>
      <c r="Y235" s="726"/>
      <c r="Z235" s="726"/>
      <c r="AA235" s="726"/>
      <c r="AB235" s="726"/>
      <c r="AC235" s="726"/>
      <c r="AD235" s="726"/>
      <c r="AE235" s="726"/>
      <c r="AF235" s="726"/>
      <c r="AG235" s="726"/>
      <c r="AH235" s="726"/>
      <c r="AI235" s="726"/>
      <c r="AJ235" s="726"/>
      <c r="AK235" s="726"/>
      <c r="AL235" s="726"/>
      <c r="AM235" s="726"/>
      <c r="AN235" s="726"/>
      <c r="AO235" s="726"/>
      <c r="AP235" s="726"/>
      <c r="AQ235" s="726"/>
      <c r="AR235" s="726"/>
      <c r="AS235" s="726"/>
      <c r="AT235" s="726"/>
      <c r="AU235" s="726"/>
      <c r="AV235" s="726"/>
      <c r="AW235" s="726"/>
      <c r="AX235" s="726"/>
      <c r="AY235" s="726"/>
      <c r="AZ235" s="726"/>
      <c r="BA235" s="726"/>
      <c r="BB235" s="726"/>
      <c r="BC235" s="726"/>
      <c r="BD235" s="726"/>
      <c r="BE235" s="726"/>
      <c r="BF235" s="726"/>
      <c r="BG235" s="726"/>
    </row>
    <row r="236" spans="1:59" x14ac:dyDescent="0.25">
      <c r="A236" s="729" t="s">
        <v>291</v>
      </c>
      <c r="B236" s="730">
        <v>561</v>
      </c>
      <c r="C236" s="725">
        <f t="shared" si="4"/>
        <v>35.022085883217123</v>
      </c>
      <c r="D236" s="92"/>
      <c r="E236" s="726"/>
      <c r="F236" s="726"/>
      <c r="G236" s="726"/>
      <c r="H236" s="726"/>
      <c r="I236" s="745"/>
      <c r="K236" s="726"/>
      <c r="L236" s="726"/>
      <c r="M236" s="726"/>
      <c r="N236" s="726"/>
      <c r="O236" s="726"/>
      <c r="P236" s="726"/>
      <c r="Q236" s="726"/>
      <c r="R236" s="726"/>
      <c r="S236" s="726"/>
      <c r="T236" s="726"/>
      <c r="U236" s="726"/>
      <c r="V236" s="726"/>
      <c r="W236" s="726"/>
      <c r="X236" s="726"/>
      <c r="Y236" s="726"/>
      <c r="Z236" s="726"/>
      <c r="AA236" s="726"/>
      <c r="AB236" s="726"/>
      <c r="AC236" s="726"/>
      <c r="AD236" s="726"/>
      <c r="AE236" s="726"/>
      <c r="AF236" s="726"/>
      <c r="AG236" s="726"/>
      <c r="AH236" s="726"/>
      <c r="AI236" s="726"/>
      <c r="AJ236" s="726"/>
      <c r="AK236" s="726"/>
      <c r="AL236" s="726"/>
      <c r="AM236" s="726"/>
      <c r="AN236" s="726"/>
      <c r="AO236" s="726"/>
      <c r="AP236" s="726"/>
      <c r="AQ236" s="726"/>
      <c r="AR236" s="726"/>
      <c r="AS236" s="726"/>
      <c r="AT236" s="726"/>
      <c r="AU236" s="726"/>
      <c r="AV236" s="726"/>
      <c r="AW236" s="726"/>
      <c r="AX236" s="726"/>
      <c r="AY236" s="726"/>
      <c r="AZ236" s="726"/>
      <c r="BA236" s="726"/>
      <c r="BB236" s="726"/>
      <c r="BC236" s="726"/>
      <c r="BD236" s="726"/>
      <c r="BE236" s="726"/>
      <c r="BF236" s="726"/>
      <c r="BG236" s="726"/>
    </row>
    <row r="237" spans="1:59" x14ac:dyDescent="0.25">
      <c r="A237" s="727" t="s">
        <v>292</v>
      </c>
      <c r="B237" s="728">
        <v>689</v>
      </c>
      <c r="C237" s="725">
        <f t="shared" si="4"/>
        <v>43.012864836963637</v>
      </c>
      <c r="D237" s="92"/>
      <c r="E237" s="726"/>
      <c r="F237" s="726"/>
      <c r="G237" s="726"/>
      <c r="H237" s="726"/>
      <c r="I237" s="745"/>
      <c r="K237" s="726"/>
      <c r="L237" s="726"/>
      <c r="M237" s="726"/>
      <c r="N237" s="726"/>
      <c r="O237" s="726"/>
      <c r="P237" s="726"/>
      <c r="Q237" s="726"/>
      <c r="R237" s="726"/>
      <c r="S237" s="726"/>
      <c r="T237" s="726"/>
      <c r="U237" s="726"/>
      <c r="V237" s="726"/>
      <c r="W237" s="726"/>
      <c r="X237" s="726"/>
      <c r="Y237" s="726"/>
      <c r="Z237" s="726"/>
      <c r="AA237" s="726"/>
      <c r="AB237" s="726"/>
      <c r="AC237" s="726"/>
      <c r="AD237" s="726"/>
      <c r="AE237" s="726"/>
      <c r="AF237" s="726"/>
      <c r="AG237" s="726"/>
      <c r="AH237" s="726"/>
      <c r="AI237" s="726"/>
      <c r="AJ237" s="726"/>
      <c r="AK237" s="726"/>
      <c r="AL237" s="726"/>
      <c r="AM237" s="726"/>
      <c r="AN237" s="726"/>
      <c r="AO237" s="726"/>
      <c r="AP237" s="726"/>
      <c r="AQ237" s="726"/>
      <c r="AR237" s="726"/>
      <c r="AS237" s="726"/>
      <c r="AT237" s="726"/>
      <c r="AU237" s="726"/>
      <c r="AV237" s="726"/>
      <c r="AW237" s="726"/>
      <c r="AX237" s="726"/>
      <c r="AY237" s="726"/>
      <c r="AZ237" s="726"/>
      <c r="BA237" s="726"/>
      <c r="BB237" s="726"/>
      <c r="BC237" s="726"/>
      <c r="BD237" s="726"/>
      <c r="BE237" s="726"/>
      <c r="BF237" s="726"/>
      <c r="BG237" s="726"/>
    </row>
    <row r="238" spans="1:59" x14ac:dyDescent="0.25">
      <c r="A238" s="729" t="s">
        <v>293</v>
      </c>
      <c r="B238" s="730">
        <v>753</v>
      </c>
      <c r="C238" s="725">
        <f t="shared" si="4"/>
        <v>47.008254313836886</v>
      </c>
      <c r="D238" s="92"/>
      <c r="E238" s="726"/>
      <c r="F238" s="726"/>
      <c r="G238" s="726"/>
      <c r="H238" s="726"/>
      <c r="I238" s="745"/>
      <c r="K238" s="726"/>
      <c r="L238" s="726"/>
      <c r="M238" s="726"/>
      <c r="N238" s="726"/>
      <c r="O238" s="726"/>
      <c r="P238" s="726"/>
      <c r="Q238" s="726"/>
      <c r="R238" s="726"/>
      <c r="S238" s="726"/>
      <c r="T238" s="726"/>
      <c r="U238" s="726"/>
      <c r="V238" s="726"/>
      <c r="W238" s="726"/>
      <c r="X238" s="726"/>
      <c r="Y238" s="726"/>
      <c r="Z238" s="726"/>
      <c r="AA238" s="726"/>
      <c r="AB238" s="726"/>
      <c r="AC238" s="726"/>
      <c r="AD238" s="726"/>
      <c r="AE238" s="726"/>
      <c r="AF238" s="726"/>
      <c r="AG238" s="726"/>
      <c r="AH238" s="726"/>
      <c r="AI238" s="726"/>
      <c r="AJ238" s="726"/>
      <c r="AK238" s="726"/>
      <c r="AL238" s="726"/>
      <c r="AM238" s="726"/>
      <c r="AN238" s="726"/>
      <c r="AO238" s="726"/>
      <c r="AP238" s="726"/>
      <c r="AQ238" s="726"/>
      <c r="AR238" s="726"/>
      <c r="AS238" s="726"/>
      <c r="AT238" s="726"/>
      <c r="AU238" s="726"/>
      <c r="AV238" s="726"/>
      <c r="AW238" s="726"/>
      <c r="AX238" s="726"/>
      <c r="AY238" s="726"/>
      <c r="AZ238" s="726"/>
      <c r="BA238" s="726"/>
      <c r="BB238" s="726"/>
      <c r="BC238" s="726"/>
      <c r="BD238" s="726"/>
      <c r="BE238" s="726"/>
      <c r="BF238" s="726"/>
      <c r="BG238" s="726"/>
    </row>
    <row r="239" spans="1:59" x14ac:dyDescent="0.25">
      <c r="A239" s="727" t="s">
        <v>294</v>
      </c>
      <c r="B239" s="728">
        <v>577</v>
      </c>
      <c r="C239" s="725">
        <f t="shared" si="4"/>
        <v>36.020933252435441</v>
      </c>
      <c r="D239" s="92"/>
      <c r="E239" s="726"/>
      <c r="F239" s="726"/>
      <c r="G239" s="726"/>
      <c r="H239" s="726"/>
      <c r="I239" s="745"/>
      <c r="K239" s="726"/>
      <c r="L239" s="726"/>
      <c r="M239" s="726"/>
      <c r="N239" s="726"/>
      <c r="O239" s="726"/>
      <c r="P239" s="726"/>
      <c r="Q239" s="726"/>
      <c r="R239" s="726"/>
      <c r="S239" s="726"/>
      <c r="T239" s="726"/>
      <c r="U239" s="726"/>
      <c r="V239" s="726"/>
      <c r="W239" s="726"/>
      <c r="X239" s="726"/>
      <c r="Y239" s="726"/>
      <c r="Z239" s="726"/>
      <c r="AA239" s="726"/>
      <c r="AB239" s="726"/>
      <c r="AC239" s="726"/>
      <c r="AD239" s="726"/>
      <c r="AE239" s="726"/>
      <c r="AF239" s="726"/>
      <c r="AG239" s="726"/>
      <c r="AH239" s="726"/>
      <c r="AI239" s="726"/>
      <c r="AJ239" s="726"/>
      <c r="AK239" s="726"/>
      <c r="AL239" s="726"/>
      <c r="AM239" s="726"/>
      <c r="AN239" s="726"/>
      <c r="AO239" s="726"/>
      <c r="AP239" s="726"/>
      <c r="AQ239" s="726"/>
      <c r="AR239" s="726"/>
      <c r="AS239" s="726"/>
      <c r="AT239" s="726"/>
      <c r="AU239" s="726"/>
      <c r="AV239" s="726"/>
      <c r="AW239" s="726"/>
      <c r="AX239" s="726"/>
      <c r="AY239" s="726"/>
      <c r="AZ239" s="726"/>
      <c r="BA239" s="726"/>
      <c r="BB239" s="726"/>
      <c r="BC239" s="726"/>
      <c r="BD239" s="726"/>
      <c r="BE239" s="726"/>
      <c r="BF239" s="726"/>
      <c r="BG239" s="726"/>
    </row>
    <row r="240" spans="1:59" x14ac:dyDescent="0.25">
      <c r="A240" s="727" t="s">
        <v>295</v>
      </c>
      <c r="B240" s="728">
        <v>1602</v>
      </c>
      <c r="C240" s="725">
        <f t="shared" si="4"/>
        <v>100.00959284298365</v>
      </c>
      <c r="D240" s="92"/>
      <c r="E240" s="726"/>
      <c r="F240" s="726"/>
      <c r="G240" s="726"/>
      <c r="H240" s="726"/>
      <c r="I240" s="745"/>
      <c r="K240" s="726"/>
      <c r="L240" s="726"/>
      <c r="M240" s="726"/>
      <c r="N240" s="726"/>
      <c r="O240" s="726"/>
      <c r="P240" s="726"/>
      <c r="Q240" s="726"/>
      <c r="R240" s="726"/>
      <c r="S240" s="726"/>
      <c r="T240" s="726"/>
      <c r="U240" s="726"/>
      <c r="V240" s="726"/>
      <c r="W240" s="726"/>
      <c r="X240" s="726"/>
      <c r="Y240" s="726"/>
      <c r="Z240" s="726"/>
      <c r="AA240" s="726"/>
      <c r="AB240" s="726"/>
      <c r="AC240" s="726"/>
      <c r="AD240" s="726"/>
      <c r="AE240" s="726"/>
      <c r="AF240" s="726"/>
      <c r="AG240" s="726"/>
      <c r="AH240" s="726"/>
      <c r="AI240" s="726"/>
      <c r="AJ240" s="726"/>
      <c r="AK240" s="726"/>
      <c r="AL240" s="726"/>
      <c r="AM240" s="726"/>
      <c r="AN240" s="726"/>
      <c r="AO240" s="726"/>
      <c r="AP240" s="726"/>
      <c r="AQ240" s="726"/>
      <c r="AR240" s="726"/>
      <c r="AS240" s="726"/>
      <c r="AT240" s="726"/>
      <c r="AU240" s="726"/>
      <c r="AV240" s="726"/>
      <c r="AW240" s="726"/>
      <c r="AX240" s="726"/>
      <c r="AY240" s="726"/>
      <c r="AZ240" s="726"/>
      <c r="BA240" s="726"/>
      <c r="BB240" s="726"/>
      <c r="BC240" s="726"/>
      <c r="BD240" s="726"/>
      <c r="BE240" s="726"/>
      <c r="BF240" s="726"/>
      <c r="BG240" s="726"/>
    </row>
    <row r="241" spans="1:59" x14ac:dyDescent="0.25">
      <c r="A241" s="729" t="s">
        <v>296</v>
      </c>
      <c r="B241" s="730">
        <v>1690</v>
      </c>
      <c r="C241" s="725">
        <f t="shared" si="4"/>
        <v>105.50325337368439</v>
      </c>
      <c r="D241" s="92"/>
      <c r="E241" s="726"/>
      <c r="F241" s="726"/>
      <c r="G241" s="726"/>
      <c r="H241" s="726"/>
      <c r="I241" s="745"/>
      <c r="K241" s="726"/>
      <c r="L241" s="726"/>
      <c r="M241" s="726"/>
      <c r="N241" s="726"/>
      <c r="O241" s="726"/>
      <c r="P241" s="726"/>
      <c r="Q241" s="726"/>
      <c r="R241" s="726"/>
      <c r="S241" s="726"/>
      <c r="T241" s="726"/>
      <c r="U241" s="726"/>
      <c r="V241" s="726"/>
      <c r="W241" s="726"/>
      <c r="X241" s="726"/>
      <c r="Y241" s="726"/>
      <c r="Z241" s="726"/>
      <c r="AA241" s="726"/>
      <c r="AB241" s="726"/>
      <c r="AC241" s="726"/>
      <c r="AD241" s="726"/>
      <c r="AE241" s="726"/>
      <c r="AF241" s="726"/>
      <c r="AG241" s="726"/>
      <c r="AH241" s="726"/>
      <c r="AI241" s="726"/>
      <c r="AJ241" s="726"/>
      <c r="AK241" s="726"/>
      <c r="AL241" s="726"/>
      <c r="AM241" s="726"/>
      <c r="AN241" s="726"/>
      <c r="AO241" s="726"/>
      <c r="AP241" s="726"/>
      <c r="AQ241" s="726"/>
      <c r="AR241" s="726"/>
      <c r="AS241" s="726"/>
      <c r="AT241" s="726"/>
      <c r="AU241" s="726"/>
      <c r="AV241" s="726"/>
      <c r="AW241" s="726"/>
      <c r="AX241" s="726"/>
      <c r="AY241" s="726"/>
      <c r="AZ241" s="726"/>
      <c r="BA241" s="726"/>
      <c r="BB241" s="726"/>
      <c r="BC241" s="726"/>
      <c r="BD241" s="726"/>
      <c r="BE241" s="726"/>
      <c r="BF241" s="726"/>
      <c r="BG241" s="726"/>
    </row>
    <row r="242" spans="1:59" x14ac:dyDescent="0.25">
      <c r="A242" s="719" t="s">
        <v>297</v>
      </c>
      <c r="B242" s="732">
        <v>1073</v>
      </c>
      <c r="C242" s="725">
        <f t="shared" si="4"/>
        <v>66.985201698203156</v>
      </c>
      <c r="D242" s="92"/>
      <c r="E242" s="726"/>
      <c r="F242" s="726"/>
      <c r="G242" s="726"/>
      <c r="H242" s="726"/>
      <c r="I242" s="745"/>
      <c r="K242" s="726"/>
      <c r="L242" s="726"/>
      <c r="M242" s="726"/>
      <c r="N242" s="726"/>
      <c r="O242" s="726"/>
      <c r="P242" s="726"/>
      <c r="Q242" s="726"/>
      <c r="R242" s="726"/>
      <c r="S242" s="726"/>
      <c r="T242" s="726"/>
      <c r="U242" s="726"/>
      <c r="V242" s="726"/>
      <c r="W242" s="726"/>
      <c r="X242" s="726"/>
      <c r="Y242" s="726"/>
      <c r="Z242" s="726"/>
      <c r="AA242" s="726"/>
      <c r="AB242" s="726"/>
      <c r="AC242" s="726"/>
      <c r="AD242" s="726"/>
      <c r="AE242" s="726"/>
      <c r="AF242" s="726"/>
      <c r="AG242" s="726"/>
      <c r="AH242" s="726"/>
      <c r="AI242" s="726"/>
      <c r="AJ242" s="726"/>
      <c r="AK242" s="726"/>
      <c r="AL242" s="726"/>
      <c r="AM242" s="726"/>
      <c r="AN242" s="726"/>
      <c r="AO242" s="726"/>
      <c r="AP242" s="726"/>
      <c r="AQ242" s="726"/>
      <c r="AR242" s="726"/>
      <c r="AS242" s="726"/>
      <c r="AT242" s="726"/>
      <c r="AU242" s="726"/>
      <c r="AV242" s="726"/>
      <c r="AW242" s="726"/>
      <c r="AX242" s="726"/>
      <c r="AY242" s="726"/>
      <c r="AZ242" s="726"/>
      <c r="BA242" s="726"/>
      <c r="BB242" s="726"/>
      <c r="BC242" s="726"/>
      <c r="BD242" s="726"/>
      <c r="BE242" s="726"/>
      <c r="BF242" s="726"/>
      <c r="BG242" s="726"/>
    </row>
    <row r="243" spans="1:59" x14ac:dyDescent="0.25">
      <c r="A243" s="729" t="s">
        <v>298</v>
      </c>
      <c r="B243" s="730">
        <v>945</v>
      </c>
      <c r="C243" s="725">
        <f t="shared" si="4"/>
        <v>58.994422744456649</v>
      </c>
      <c r="D243" s="92"/>
      <c r="E243" s="726"/>
      <c r="F243" s="726"/>
      <c r="G243" s="726"/>
      <c r="H243" s="726"/>
      <c r="I243" s="745"/>
      <c r="K243" s="726"/>
      <c r="L243" s="726"/>
      <c r="M243" s="726"/>
      <c r="N243" s="726"/>
      <c r="O243" s="726"/>
      <c r="P243" s="726"/>
      <c r="Q243" s="726"/>
      <c r="R243" s="726"/>
      <c r="S243" s="726"/>
      <c r="T243" s="726"/>
      <c r="U243" s="726"/>
      <c r="V243" s="726"/>
      <c r="W243" s="726"/>
      <c r="X243" s="726"/>
      <c r="Y243" s="726"/>
      <c r="Z243" s="726"/>
      <c r="AA243" s="726"/>
      <c r="AB243" s="726"/>
      <c r="AC243" s="726"/>
      <c r="AD243" s="726"/>
      <c r="AE243" s="726"/>
      <c r="AF243" s="726"/>
      <c r="AG243" s="726"/>
      <c r="AH243" s="726"/>
      <c r="AI243" s="726"/>
      <c r="AJ243" s="726"/>
      <c r="AK243" s="726"/>
      <c r="AL243" s="726"/>
      <c r="AM243" s="726"/>
      <c r="AN243" s="726"/>
      <c r="AO243" s="726"/>
      <c r="AP243" s="726"/>
      <c r="AQ243" s="726"/>
      <c r="AR243" s="726"/>
      <c r="AS243" s="726"/>
      <c r="AT243" s="726"/>
      <c r="AU243" s="726"/>
      <c r="AV243" s="726"/>
      <c r="AW243" s="726"/>
      <c r="AX243" s="726"/>
      <c r="AY243" s="726"/>
      <c r="AZ243" s="726"/>
      <c r="BA243" s="726"/>
      <c r="BB243" s="726"/>
      <c r="BC243" s="726"/>
      <c r="BD243" s="726"/>
      <c r="BE243" s="726"/>
      <c r="BF243" s="726"/>
      <c r="BG243" s="726"/>
    </row>
    <row r="244" spans="1:59" x14ac:dyDescent="0.25">
      <c r="A244" s="727" t="s">
        <v>299</v>
      </c>
      <c r="B244" s="728">
        <v>481</v>
      </c>
      <c r="C244" s="725">
        <f t="shared" si="4"/>
        <v>30.027849037125556</v>
      </c>
      <c r="D244" s="92"/>
      <c r="E244" s="726"/>
      <c r="F244" s="726"/>
      <c r="G244" s="726"/>
      <c r="H244" s="726"/>
      <c r="I244" s="745"/>
      <c r="K244" s="726"/>
      <c r="L244" s="726"/>
      <c r="M244" s="726"/>
      <c r="N244" s="726"/>
      <c r="O244" s="726"/>
      <c r="P244" s="726"/>
      <c r="Q244" s="726"/>
      <c r="R244" s="726"/>
      <c r="S244" s="726"/>
      <c r="T244" s="726"/>
      <c r="U244" s="726"/>
      <c r="V244" s="726"/>
      <c r="W244" s="726"/>
      <c r="X244" s="726"/>
      <c r="Y244" s="726"/>
      <c r="Z244" s="726"/>
      <c r="AA244" s="726"/>
      <c r="AB244" s="726"/>
      <c r="AC244" s="726"/>
      <c r="AD244" s="726"/>
      <c r="AE244" s="726"/>
      <c r="AF244" s="726"/>
      <c r="AG244" s="726"/>
      <c r="AH244" s="726"/>
      <c r="AI244" s="726"/>
      <c r="AJ244" s="726"/>
      <c r="AK244" s="726"/>
      <c r="AL244" s="726"/>
      <c r="AM244" s="726"/>
      <c r="AN244" s="726"/>
      <c r="AO244" s="726"/>
      <c r="AP244" s="726"/>
      <c r="AQ244" s="726"/>
      <c r="AR244" s="726"/>
      <c r="AS244" s="726"/>
      <c r="AT244" s="726"/>
      <c r="AU244" s="726"/>
      <c r="AV244" s="726"/>
      <c r="AW244" s="726"/>
      <c r="AX244" s="726"/>
      <c r="AY244" s="726"/>
      <c r="AZ244" s="726"/>
      <c r="BA244" s="726"/>
      <c r="BB244" s="726"/>
      <c r="BC244" s="726"/>
      <c r="BD244" s="726"/>
      <c r="BE244" s="726"/>
      <c r="BF244" s="726"/>
      <c r="BG244" s="726"/>
    </row>
    <row r="245" spans="1:59" x14ac:dyDescent="0.25">
      <c r="A245" s="729" t="s">
        <v>300</v>
      </c>
      <c r="B245" s="730">
        <v>1522</v>
      </c>
      <c r="C245" s="725">
        <f t="shared" si="4"/>
        <v>95.015355996892083</v>
      </c>
      <c r="D245" s="92"/>
      <c r="E245" s="726"/>
      <c r="F245" s="726"/>
      <c r="G245" s="726"/>
      <c r="H245" s="726"/>
      <c r="I245" s="745"/>
      <c r="K245" s="726"/>
      <c r="L245" s="726"/>
      <c r="M245" s="726"/>
      <c r="N245" s="726"/>
      <c r="O245" s="726"/>
      <c r="P245" s="726"/>
      <c r="Q245" s="726"/>
      <c r="R245" s="726"/>
      <c r="S245" s="726"/>
      <c r="T245" s="726"/>
      <c r="U245" s="726"/>
      <c r="V245" s="726"/>
      <c r="W245" s="726"/>
      <c r="X245" s="726"/>
      <c r="Y245" s="726"/>
      <c r="Z245" s="726"/>
      <c r="AA245" s="726"/>
      <c r="AB245" s="726"/>
      <c r="AC245" s="726"/>
      <c r="AD245" s="726"/>
      <c r="AE245" s="726"/>
      <c r="AF245" s="726"/>
      <c r="AG245" s="726"/>
      <c r="AH245" s="726"/>
      <c r="AI245" s="726"/>
      <c r="AJ245" s="726"/>
      <c r="AK245" s="726"/>
      <c r="AL245" s="726"/>
      <c r="AM245" s="726"/>
      <c r="AN245" s="726"/>
      <c r="AO245" s="726"/>
      <c r="AP245" s="726"/>
      <c r="AQ245" s="726"/>
      <c r="AR245" s="726"/>
      <c r="AS245" s="726"/>
      <c r="AT245" s="726"/>
      <c r="AU245" s="726"/>
      <c r="AV245" s="726"/>
      <c r="AW245" s="726"/>
      <c r="AX245" s="726"/>
      <c r="AY245" s="726"/>
      <c r="AZ245" s="726"/>
      <c r="BA245" s="726"/>
      <c r="BB245" s="726"/>
      <c r="BC245" s="726"/>
      <c r="BD245" s="726"/>
      <c r="BE245" s="726"/>
      <c r="BF245" s="726"/>
      <c r="BG245" s="726"/>
    </row>
    <row r="246" spans="1:59" x14ac:dyDescent="0.25">
      <c r="A246" s="727" t="s">
        <v>394</v>
      </c>
      <c r="B246" s="728">
        <v>1804</v>
      </c>
      <c r="C246" s="725">
        <f t="shared" si="4"/>
        <v>112.62004087936486</v>
      </c>
      <c r="D246" s="92"/>
      <c r="E246" s="726"/>
      <c r="F246" s="726"/>
      <c r="G246" s="726"/>
      <c r="H246" s="726"/>
      <c r="I246" s="745"/>
      <c r="K246" s="726"/>
      <c r="L246" s="726"/>
      <c r="M246" s="726"/>
      <c r="N246" s="726"/>
      <c r="O246" s="726"/>
      <c r="P246" s="726"/>
      <c r="Q246" s="726"/>
      <c r="R246" s="726"/>
      <c r="S246" s="726"/>
      <c r="T246" s="726"/>
      <c r="U246" s="726"/>
      <c r="V246" s="726"/>
      <c r="W246" s="726"/>
      <c r="X246" s="726"/>
      <c r="Y246" s="726"/>
      <c r="Z246" s="726"/>
      <c r="AA246" s="726"/>
      <c r="AB246" s="726"/>
      <c r="AC246" s="726"/>
      <c r="AD246" s="726"/>
      <c r="AE246" s="726"/>
      <c r="AF246" s="726"/>
      <c r="AG246" s="726"/>
      <c r="AH246" s="726"/>
      <c r="AI246" s="726"/>
      <c r="AJ246" s="726"/>
      <c r="AK246" s="726"/>
      <c r="AL246" s="726"/>
      <c r="AM246" s="726"/>
      <c r="AN246" s="726"/>
      <c r="AO246" s="726"/>
      <c r="AP246" s="726"/>
      <c r="AQ246" s="726"/>
      <c r="AR246" s="726"/>
      <c r="AS246" s="726"/>
      <c r="AT246" s="726"/>
      <c r="AU246" s="726"/>
      <c r="AV246" s="726"/>
      <c r="AW246" s="726"/>
      <c r="AX246" s="726"/>
      <c r="AY246" s="726"/>
      <c r="AZ246" s="726"/>
      <c r="BA246" s="726"/>
      <c r="BB246" s="726"/>
      <c r="BC246" s="726"/>
      <c r="BD246" s="726"/>
      <c r="BE246" s="726"/>
      <c r="BF246" s="726"/>
      <c r="BG246" s="726"/>
    </row>
    <row r="247" spans="1:59" x14ac:dyDescent="0.25">
      <c r="A247" s="729" t="s">
        <v>301</v>
      </c>
      <c r="B247" s="730">
        <v>705</v>
      </c>
      <c r="C247" s="725">
        <f t="shared" si="4"/>
        <v>44.011712206181947</v>
      </c>
      <c r="D247" s="92"/>
      <c r="E247" s="726"/>
      <c r="F247" s="726"/>
      <c r="G247" s="726"/>
      <c r="H247" s="726"/>
      <c r="I247" s="745"/>
      <c r="K247" s="726"/>
      <c r="L247" s="726"/>
      <c r="M247" s="726"/>
      <c r="N247" s="726"/>
      <c r="O247" s="726"/>
      <c r="P247" s="726"/>
      <c r="Q247" s="726"/>
      <c r="R247" s="726"/>
      <c r="S247" s="726"/>
      <c r="T247" s="726"/>
      <c r="U247" s="726"/>
      <c r="V247" s="726"/>
      <c r="W247" s="726"/>
      <c r="X247" s="726"/>
      <c r="Y247" s="726"/>
      <c r="Z247" s="726"/>
      <c r="AA247" s="726"/>
      <c r="AB247" s="726"/>
      <c r="AC247" s="726"/>
      <c r="AD247" s="726"/>
      <c r="AE247" s="726"/>
      <c r="AF247" s="726"/>
      <c r="AG247" s="726"/>
      <c r="AH247" s="726"/>
      <c r="AI247" s="726"/>
      <c r="AJ247" s="726"/>
      <c r="AK247" s="726"/>
      <c r="AL247" s="726"/>
      <c r="AM247" s="726"/>
      <c r="AN247" s="726"/>
      <c r="AO247" s="726"/>
      <c r="AP247" s="726"/>
      <c r="AQ247" s="726"/>
      <c r="AR247" s="726"/>
      <c r="AS247" s="726"/>
      <c r="AT247" s="726"/>
      <c r="AU247" s="726"/>
      <c r="AV247" s="726"/>
      <c r="AW247" s="726"/>
      <c r="AX247" s="726"/>
      <c r="AY247" s="726"/>
      <c r="AZ247" s="726"/>
      <c r="BA247" s="726"/>
      <c r="BB247" s="726"/>
      <c r="BC247" s="726"/>
      <c r="BD247" s="726"/>
      <c r="BE247" s="726"/>
      <c r="BF247" s="726"/>
      <c r="BG247" s="726"/>
    </row>
    <row r="248" spans="1:59" x14ac:dyDescent="0.25">
      <c r="A248" s="727" t="s">
        <v>302</v>
      </c>
      <c r="B248" s="728">
        <v>1442</v>
      </c>
      <c r="C248" s="725">
        <f t="shared" si="4"/>
        <v>90.02111915080053</v>
      </c>
      <c r="D248" s="92"/>
      <c r="E248" s="726"/>
      <c r="F248" s="726"/>
      <c r="G248" s="726"/>
      <c r="H248" s="726"/>
      <c r="I248" s="745"/>
      <c r="K248" s="726"/>
      <c r="L248" s="726"/>
      <c r="M248" s="726"/>
      <c r="N248" s="726"/>
      <c r="O248" s="726"/>
      <c r="P248" s="726"/>
      <c r="Q248" s="726"/>
      <c r="R248" s="726"/>
      <c r="S248" s="726"/>
      <c r="T248" s="726"/>
      <c r="U248" s="726"/>
      <c r="V248" s="726"/>
      <c r="W248" s="726"/>
      <c r="X248" s="726"/>
      <c r="Y248" s="726"/>
      <c r="Z248" s="726"/>
      <c r="AA248" s="726"/>
      <c r="AB248" s="726"/>
      <c r="AC248" s="726"/>
      <c r="AD248" s="726"/>
      <c r="AE248" s="726"/>
      <c r="AF248" s="726"/>
      <c r="AG248" s="726"/>
      <c r="AH248" s="726"/>
      <c r="AI248" s="726"/>
      <c r="AJ248" s="726"/>
      <c r="AK248" s="726"/>
      <c r="AL248" s="726"/>
      <c r="AM248" s="726"/>
      <c r="AN248" s="726"/>
      <c r="AO248" s="726"/>
      <c r="AP248" s="726"/>
      <c r="AQ248" s="726"/>
      <c r="AR248" s="726"/>
      <c r="AS248" s="726"/>
      <c r="AT248" s="726"/>
      <c r="AU248" s="726"/>
      <c r="AV248" s="726"/>
      <c r="AW248" s="726"/>
      <c r="AX248" s="726"/>
      <c r="AY248" s="726"/>
      <c r="AZ248" s="726"/>
      <c r="BA248" s="726"/>
      <c r="BB248" s="726"/>
      <c r="BC248" s="726"/>
      <c r="BD248" s="726"/>
      <c r="BE248" s="726"/>
      <c r="BF248" s="726"/>
      <c r="BG248" s="726"/>
    </row>
    <row r="249" spans="1:59" x14ac:dyDescent="0.25">
      <c r="A249" s="729" t="s">
        <v>303</v>
      </c>
      <c r="B249" s="730">
        <v>801</v>
      </c>
      <c r="C249" s="725">
        <f t="shared" si="4"/>
        <v>50.004796421491825</v>
      </c>
      <c r="D249" s="92"/>
      <c r="E249" s="726"/>
      <c r="F249" s="726"/>
      <c r="G249" s="726"/>
      <c r="H249" s="726"/>
      <c r="I249" s="745"/>
      <c r="K249" s="726"/>
      <c r="L249" s="726"/>
      <c r="M249" s="726"/>
      <c r="N249" s="726"/>
      <c r="O249" s="726"/>
      <c r="P249" s="726"/>
      <c r="Q249" s="726"/>
      <c r="R249" s="726"/>
      <c r="S249" s="726"/>
      <c r="T249" s="726"/>
      <c r="U249" s="726"/>
      <c r="V249" s="726"/>
      <c r="W249" s="726"/>
      <c r="X249" s="726"/>
      <c r="Y249" s="726"/>
      <c r="Z249" s="726"/>
      <c r="AA249" s="726"/>
      <c r="AB249" s="726"/>
      <c r="AC249" s="726"/>
      <c r="AD249" s="726"/>
      <c r="AE249" s="726"/>
      <c r="AF249" s="726"/>
      <c r="AG249" s="726"/>
      <c r="AH249" s="726"/>
      <c r="AI249" s="726"/>
      <c r="AJ249" s="726"/>
      <c r="AK249" s="726"/>
      <c r="AL249" s="726"/>
      <c r="AM249" s="726"/>
      <c r="AN249" s="726"/>
      <c r="AO249" s="726"/>
      <c r="AP249" s="726"/>
      <c r="AQ249" s="726"/>
      <c r="AR249" s="726"/>
      <c r="AS249" s="726"/>
      <c r="AT249" s="726"/>
      <c r="AU249" s="726"/>
      <c r="AV249" s="726"/>
      <c r="AW249" s="726"/>
      <c r="AX249" s="726"/>
      <c r="AY249" s="726"/>
      <c r="AZ249" s="726"/>
      <c r="BA249" s="726"/>
      <c r="BB249" s="726"/>
      <c r="BC249" s="726"/>
      <c r="BD249" s="726"/>
      <c r="BE249" s="726"/>
      <c r="BF249" s="726"/>
      <c r="BG249" s="726"/>
    </row>
    <row r="250" spans="1:59" x14ac:dyDescent="0.25">
      <c r="A250" s="727" t="s">
        <v>304</v>
      </c>
      <c r="B250" s="728">
        <v>1201</v>
      </c>
      <c r="C250" s="725">
        <f t="shared" si="4"/>
        <v>74.975980651949669</v>
      </c>
      <c r="D250" s="92"/>
      <c r="E250" s="726"/>
      <c r="F250" s="726"/>
      <c r="G250" s="726"/>
      <c r="H250" s="726"/>
      <c r="I250" s="745"/>
      <c r="K250" s="726"/>
      <c r="L250" s="726"/>
      <c r="M250" s="726"/>
      <c r="N250" s="726"/>
      <c r="O250" s="726"/>
      <c r="P250" s="726"/>
      <c r="Q250" s="726"/>
      <c r="R250" s="726"/>
      <c r="S250" s="726"/>
      <c r="T250" s="726"/>
      <c r="U250" s="726"/>
      <c r="V250" s="726"/>
      <c r="W250" s="726"/>
      <c r="X250" s="726"/>
      <c r="Y250" s="726"/>
      <c r="Z250" s="726"/>
      <c r="AA250" s="726"/>
      <c r="AB250" s="726"/>
      <c r="AC250" s="726"/>
      <c r="AD250" s="726"/>
      <c r="AE250" s="726"/>
      <c r="AF250" s="726"/>
      <c r="AG250" s="726"/>
      <c r="AH250" s="726"/>
      <c r="AI250" s="726"/>
      <c r="AJ250" s="726"/>
      <c r="AK250" s="726"/>
      <c r="AL250" s="726"/>
      <c r="AM250" s="726"/>
      <c r="AN250" s="726"/>
      <c r="AO250" s="726"/>
      <c r="AP250" s="726"/>
      <c r="AQ250" s="726"/>
      <c r="AR250" s="726"/>
      <c r="AS250" s="726"/>
      <c r="AT250" s="726"/>
      <c r="AU250" s="726"/>
      <c r="AV250" s="726"/>
      <c r="AW250" s="726"/>
      <c r="AX250" s="726"/>
      <c r="AY250" s="726"/>
      <c r="AZ250" s="726"/>
      <c r="BA250" s="726"/>
      <c r="BB250" s="726"/>
      <c r="BC250" s="726"/>
      <c r="BD250" s="726"/>
      <c r="BE250" s="726"/>
      <c r="BF250" s="726"/>
      <c r="BG250" s="726"/>
    </row>
    <row r="251" spans="1:59" x14ac:dyDescent="0.25">
      <c r="A251" s="729" t="s">
        <v>305</v>
      </c>
      <c r="B251" s="730">
        <v>1201</v>
      </c>
      <c r="C251" s="725">
        <f t="shared" si="4"/>
        <v>74.975980651949669</v>
      </c>
      <c r="D251" s="92"/>
      <c r="E251" s="726"/>
      <c r="F251" s="726"/>
      <c r="G251" s="726"/>
      <c r="H251" s="726"/>
      <c r="I251" s="745"/>
      <c r="K251" s="726"/>
      <c r="L251" s="726"/>
      <c r="M251" s="726"/>
      <c r="N251" s="726"/>
      <c r="O251" s="726"/>
      <c r="P251" s="726"/>
      <c r="Q251" s="726"/>
      <c r="R251" s="726"/>
      <c r="S251" s="726"/>
      <c r="T251" s="726"/>
      <c r="U251" s="726"/>
      <c r="V251" s="726"/>
      <c r="W251" s="726"/>
      <c r="X251" s="726"/>
      <c r="Y251" s="726"/>
      <c r="Z251" s="726"/>
      <c r="AA251" s="726"/>
      <c r="AB251" s="726"/>
      <c r="AC251" s="726"/>
      <c r="AD251" s="726"/>
      <c r="AE251" s="726"/>
      <c r="AF251" s="726"/>
      <c r="AG251" s="726"/>
      <c r="AH251" s="726"/>
      <c r="AI251" s="726"/>
      <c r="AJ251" s="726"/>
      <c r="AK251" s="726"/>
      <c r="AL251" s="726"/>
      <c r="AM251" s="726"/>
      <c r="AN251" s="726"/>
      <c r="AO251" s="726"/>
      <c r="AP251" s="726"/>
      <c r="AQ251" s="726"/>
      <c r="AR251" s="726"/>
      <c r="AS251" s="726"/>
      <c r="AT251" s="726"/>
      <c r="AU251" s="726"/>
      <c r="AV251" s="726"/>
      <c r="AW251" s="726"/>
      <c r="AX251" s="726"/>
      <c r="AY251" s="726"/>
      <c r="AZ251" s="726"/>
      <c r="BA251" s="726"/>
      <c r="BB251" s="726"/>
      <c r="BC251" s="726"/>
      <c r="BD251" s="726"/>
      <c r="BE251" s="726"/>
      <c r="BF251" s="726"/>
      <c r="BG251" s="726"/>
    </row>
    <row r="252" spans="1:59" x14ac:dyDescent="0.25">
      <c r="A252" s="727" t="s">
        <v>306</v>
      </c>
      <c r="B252" s="728">
        <v>1650</v>
      </c>
      <c r="C252" s="725">
        <f t="shared" si="4"/>
        <v>103.0061349506386</v>
      </c>
      <c r="D252" s="92"/>
      <c r="E252" s="726"/>
      <c r="F252" s="726"/>
      <c r="G252" s="726"/>
      <c r="H252" s="726"/>
      <c r="I252" s="745"/>
      <c r="K252" s="726"/>
      <c r="L252" s="726"/>
      <c r="M252" s="726"/>
      <c r="N252" s="726"/>
      <c r="O252" s="726"/>
      <c r="P252" s="726"/>
      <c r="Q252" s="726"/>
      <c r="R252" s="726"/>
      <c r="S252" s="726"/>
      <c r="T252" s="726"/>
      <c r="U252" s="726"/>
      <c r="V252" s="726"/>
      <c r="W252" s="726"/>
      <c r="X252" s="726"/>
      <c r="Y252" s="726"/>
      <c r="Z252" s="726"/>
      <c r="AA252" s="726"/>
      <c r="AB252" s="726"/>
      <c r="AC252" s="726"/>
      <c r="AD252" s="726"/>
      <c r="AE252" s="726"/>
      <c r="AF252" s="726"/>
      <c r="AG252" s="726"/>
      <c r="AH252" s="726"/>
      <c r="AI252" s="726"/>
      <c r="AJ252" s="726"/>
      <c r="AK252" s="726"/>
      <c r="AL252" s="726"/>
      <c r="AM252" s="726"/>
      <c r="AN252" s="726"/>
      <c r="AO252" s="726"/>
      <c r="AP252" s="726"/>
      <c r="AQ252" s="726"/>
      <c r="AR252" s="726"/>
      <c r="AS252" s="726"/>
      <c r="AT252" s="726"/>
      <c r="AU252" s="726"/>
      <c r="AV252" s="726"/>
      <c r="AW252" s="726"/>
      <c r="AX252" s="726"/>
      <c r="AY252" s="726"/>
      <c r="AZ252" s="726"/>
      <c r="BA252" s="726"/>
      <c r="BB252" s="726"/>
      <c r="BC252" s="726"/>
      <c r="BD252" s="726"/>
      <c r="BE252" s="726"/>
      <c r="BF252" s="726"/>
      <c r="BG252" s="726"/>
    </row>
    <row r="253" spans="1:59" x14ac:dyDescent="0.25">
      <c r="A253" s="729" t="s">
        <v>307</v>
      </c>
      <c r="B253" s="730">
        <v>2020</v>
      </c>
      <c r="C253" s="725">
        <f t="shared" si="4"/>
        <v>126.10448036381209</v>
      </c>
      <c r="D253" s="92"/>
      <c r="E253" s="726"/>
      <c r="F253" s="726"/>
      <c r="G253" s="726"/>
      <c r="H253" s="726"/>
      <c r="I253" s="745"/>
      <c r="K253" s="726"/>
      <c r="L253" s="726"/>
      <c r="M253" s="726"/>
      <c r="N253" s="726"/>
      <c r="O253" s="726"/>
      <c r="P253" s="726"/>
      <c r="Q253" s="726"/>
      <c r="R253" s="726"/>
      <c r="S253" s="726"/>
      <c r="T253" s="726"/>
      <c r="U253" s="726"/>
      <c r="V253" s="726"/>
      <c r="W253" s="726"/>
      <c r="X253" s="726"/>
      <c r="Y253" s="726"/>
      <c r="Z253" s="726"/>
      <c r="AA253" s="726"/>
      <c r="AB253" s="726"/>
      <c r="AC253" s="726"/>
      <c r="AD253" s="726"/>
      <c r="AE253" s="726"/>
      <c r="AF253" s="726"/>
      <c r="AG253" s="726"/>
      <c r="AH253" s="726"/>
      <c r="AI253" s="726"/>
      <c r="AJ253" s="726"/>
      <c r="AK253" s="726"/>
      <c r="AL253" s="726"/>
      <c r="AM253" s="726"/>
      <c r="AN253" s="726"/>
      <c r="AO253" s="726"/>
      <c r="AP253" s="726"/>
      <c r="AQ253" s="726"/>
      <c r="AR253" s="726"/>
      <c r="AS253" s="726"/>
      <c r="AT253" s="726"/>
      <c r="AU253" s="726"/>
      <c r="AV253" s="726"/>
      <c r="AW253" s="726"/>
      <c r="AX253" s="726"/>
      <c r="AY253" s="726"/>
      <c r="AZ253" s="726"/>
      <c r="BA253" s="726"/>
      <c r="BB253" s="726"/>
      <c r="BC253" s="726"/>
      <c r="BD253" s="726"/>
      <c r="BE253" s="726"/>
      <c r="BF253" s="726"/>
      <c r="BG253" s="726"/>
    </row>
    <row r="254" spans="1:59" x14ac:dyDescent="0.25">
      <c r="A254" s="727" t="s">
        <v>308</v>
      </c>
      <c r="B254" s="728">
        <v>1602</v>
      </c>
      <c r="C254" s="725">
        <f t="shared" si="4"/>
        <v>100.00959284298365</v>
      </c>
      <c r="D254" s="92"/>
      <c r="E254" s="726"/>
      <c r="F254" s="726"/>
      <c r="G254" s="726"/>
      <c r="H254" s="726"/>
      <c r="I254" s="745"/>
      <c r="K254" s="726"/>
      <c r="L254" s="726"/>
      <c r="M254" s="726"/>
      <c r="N254" s="726"/>
      <c r="O254" s="726"/>
      <c r="P254" s="726"/>
      <c r="Q254" s="726"/>
      <c r="R254" s="726"/>
      <c r="S254" s="726"/>
      <c r="T254" s="726"/>
      <c r="U254" s="726"/>
      <c r="V254" s="726"/>
      <c r="W254" s="726"/>
      <c r="X254" s="726"/>
      <c r="Y254" s="726"/>
      <c r="Z254" s="726"/>
      <c r="AA254" s="726"/>
      <c r="AB254" s="726"/>
      <c r="AC254" s="726"/>
      <c r="AD254" s="726"/>
      <c r="AE254" s="726"/>
      <c r="AF254" s="726"/>
      <c r="AG254" s="726"/>
      <c r="AH254" s="726"/>
      <c r="AI254" s="726"/>
      <c r="AJ254" s="726"/>
      <c r="AK254" s="726"/>
      <c r="AL254" s="726"/>
      <c r="AM254" s="726"/>
      <c r="AN254" s="726"/>
      <c r="AO254" s="726"/>
      <c r="AP254" s="726"/>
      <c r="AQ254" s="726"/>
      <c r="AR254" s="726"/>
      <c r="AS254" s="726"/>
      <c r="AT254" s="726"/>
      <c r="AU254" s="726"/>
      <c r="AV254" s="726"/>
      <c r="AW254" s="726"/>
      <c r="AX254" s="726"/>
      <c r="AY254" s="726"/>
      <c r="AZ254" s="726"/>
      <c r="BA254" s="726"/>
      <c r="BB254" s="726"/>
      <c r="BC254" s="726"/>
      <c r="BD254" s="726"/>
      <c r="BE254" s="726"/>
      <c r="BF254" s="726"/>
      <c r="BG254" s="726"/>
    </row>
    <row r="255" spans="1:59" x14ac:dyDescent="0.25">
      <c r="A255" s="729" t="s">
        <v>309</v>
      </c>
      <c r="B255" s="730">
        <v>1442</v>
      </c>
      <c r="C255" s="725">
        <f t="shared" si="4"/>
        <v>90.02111915080053</v>
      </c>
      <c r="D255" s="92"/>
      <c r="E255" s="726"/>
      <c r="F255" s="726"/>
      <c r="G255" s="726"/>
      <c r="H255" s="726"/>
      <c r="I255" s="745"/>
      <c r="K255" s="726"/>
      <c r="L255" s="726"/>
      <c r="M255" s="726"/>
      <c r="N255" s="726"/>
      <c r="O255" s="726"/>
      <c r="P255" s="726"/>
      <c r="Q255" s="726"/>
      <c r="R255" s="726"/>
      <c r="S255" s="726"/>
      <c r="T255" s="726"/>
      <c r="U255" s="726"/>
      <c r="V255" s="726"/>
      <c r="W255" s="726"/>
      <c r="X255" s="726"/>
      <c r="Y255" s="726"/>
      <c r="Z255" s="726"/>
      <c r="AA255" s="726"/>
      <c r="AB255" s="726"/>
      <c r="AC255" s="726"/>
      <c r="AD255" s="726"/>
      <c r="AE255" s="726"/>
      <c r="AF255" s="726"/>
      <c r="AG255" s="726"/>
      <c r="AH255" s="726"/>
      <c r="AI255" s="726"/>
      <c r="AJ255" s="726"/>
      <c r="AK255" s="726"/>
      <c r="AL255" s="726"/>
      <c r="AM255" s="726"/>
      <c r="AN255" s="726"/>
      <c r="AO255" s="726"/>
      <c r="AP255" s="726"/>
      <c r="AQ255" s="726"/>
      <c r="AR255" s="726"/>
      <c r="AS255" s="726"/>
      <c r="AT255" s="726"/>
      <c r="AU255" s="726"/>
      <c r="AV255" s="726"/>
      <c r="AW255" s="726"/>
      <c r="AX255" s="726"/>
      <c r="AY255" s="726"/>
      <c r="AZ255" s="726"/>
      <c r="BA255" s="726"/>
      <c r="BB255" s="726"/>
      <c r="BC255" s="726"/>
      <c r="BD255" s="726"/>
      <c r="BE255" s="726"/>
      <c r="BF255" s="726"/>
      <c r="BG255" s="726"/>
    </row>
    <row r="256" spans="1:59" x14ac:dyDescent="0.25">
      <c r="A256" s="727" t="s">
        <v>310</v>
      </c>
      <c r="B256" s="728">
        <v>1682</v>
      </c>
      <c r="C256" s="725">
        <f t="shared" si="4"/>
        <v>105.00382968907523</v>
      </c>
      <c r="D256" s="92"/>
      <c r="E256" s="726"/>
      <c r="F256" s="726"/>
      <c r="G256" s="726"/>
      <c r="H256" s="726"/>
      <c r="I256" s="745"/>
      <c r="K256" s="726"/>
      <c r="L256" s="726"/>
      <c r="M256" s="726"/>
      <c r="N256" s="726"/>
      <c r="O256" s="726"/>
      <c r="P256" s="726"/>
      <c r="Q256" s="726"/>
      <c r="R256" s="726"/>
      <c r="S256" s="726"/>
      <c r="T256" s="726"/>
      <c r="U256" s="726"/>
      <c r="V256" s="726"/>
      <c r="W256" s="726"/>
      <c r="X256" s="726"/>
      <c r="Y256" s="726"/>
      <c r="Z256" s="726"/>
      <c r="AA256" s="726"/>
      <c r="AB256" s="726"/>
      <c r="AC256" s="726"/>
      <c r="AD256" s="726"/>
      <c r="AE256" s="726"/>
      <c r="AF256" s="726"/>
      <c r="AG256" s="726"/>
      <c r="AH256" s="726"/>
      <c r="AI256" s="726"/>
      <c r="AJ256" s="726"/>
      <c r="AK256" s="726"/>
      <c r="AL256" s="726"/>
      <c r="AM256" s="726"/>
      <c r="AN256" s="726"/>
      <c r="AO256" s="726"/>
      <c r="AP256" s="726"/>
      <c r="AQ256" s="726"/>
      <c r="AR256" s="726"/>
      <c r="AS256" s="726"/>
      <c r="AT256" s="726"/>
      <c r="AU256" s="726"/>
      <c r="AV256" s="726"/>
      <c r="AW256" s="726"/>
      <c r="AX256" s="726"/>
      <c r="AY256" s="726"/>
      <c r="AZ256" s="726"/>
      <c r="BA256" s="726"/>
      <c r="BB256" s="726"/>
      <c r="BC256" s="726"/>
      <c r="BD256" s="726"/>
      <c r="BE256" s="726"/>
      <c r="BF256" s="726"/>
      <c r="BG256" s="726"/>
    </row>
    <row r="257" spans="1:59" x14ac:dyDescent="0.25">
      <c r="A257" s="727" t="s">
        <v>311</v>
      </c>
      <c r="B257" s="728">
        <v>1922</v>
      </c>
      <c r="C257" s="725">
        <f t="shared" si="4"/>
        <v>119.98654022734993</v>
      </c>
      <c r="D257" s="92"/>
      <c r="E257" s="726"/>
      <c r="F257" s="726"/>
      <c r="G257" s="726"/>
      <c r="H257" s="726"/>
      <c r="I257" s="745"/>
      <c r="K257" s="726"/>
      <c r="L257" s="726"/>
      <c r="M257" s="726"/>
      <c r="N257" s="726"/>
      <c r="O257" s="726"/>
      <c r="P257" s="726"/>
      <c r="Q257" s="726"/>
      <c r="R257" s="726"/>
      <c r="S257" s="726"/>
      <c r="T257" s="726"/>
      <c r="U257" s="726"/>
      <c r="V257" s="726"/>
      <c r="W257" s="726"/>
      <c r="X257" s="726"/>
      <c r="Y257" s="726"/>
      <c r="Z257" s="726"/>
      <c r="AA257" s="726"/>
      <c r="AB257" s="726"/>
      <c r="AC257" s="726"/>
      <c r="AD257" s="726"/>
      <c r="AE257" s="726"/>
      <c r="AF257" s="726"/>
      <c r="AG257" s="726"/>
      <c r="AH257" s="726"/>
      <c r="AI257" s="726"/>
      <c r="AJ257" s="726"/>
      <c r="AK257" s="726"/>
      <c r="AL257" s="726"/>
      <c r="AM257" s="726"/>
      <c r="AN257" s="726"/>
      <c r="AO257" s="726"/>
      <c r="AP257" s="726"/>
      <c r="AQ257" s="726"/>
      <c r="AR257" s="726"/>
      <c r="AS257" s="726"/>
      <c r="AT257" s="726"/>
      <c r="AU257" s="726"/>
      <c r="AV257" s="726"/>
      <c r="AW257" s="726"/>
      <c r="AX257" s="726"/>
      <c r="AY257" s="726"/>
      <c r="AZ257" s="726"/>
      <c r="BA257" s="726"/>
      <c r="BB257" s="726"/>
      <c r="BC257" s="726"/>
      <c r="BD257" s="726"/>
      <c r="BE257" s="726"/>
      <c r="BF257" s="726"/>
      <c r="BG257" s="726"/>
    </row>
    <row r="258" spans="1:59" x14ac:dyDescent="0.25">
      <c r="A258" s="719" t="s">
        <v>312</v>
      </c>
      <c r="B258" s="732">
        <v>1922</v>
      </c>
      <c r="C258" s="725">
        <f t="shared" si="4"/>
        <v>119.98654022734993</v>
      </c>
      <c r="D258" s="92"/>
      <c r="E258" s="726"/>
      <c r="F258" s="726"/>
      <c r="G258" s="726"/>
      <c r="H258" s="726"/>
      <c r="I258" s="745"/>
      <c r="K258" s="726"/>
      <c r="L258" s="726"/>
      <c r="M258" s="726"/>
      <c r="N258" s="726"/>
      <c r="O258" s="726"/>
      <c r="P258" s="726"/>
      <c r="Q258" s="726"/>
      <c r="R258" s="726"/>
      <c r="S258" s="726"/>
      <c r="T258" s="726"/>
      <c r="U258" s="726"/>
      <c r="V258" s="726"/>
      <c r="W258" s="726"/>
      <c r="X258" s="726"/>
      <c r="Y258" s="726"/>
      <c r="Z258" s="726"/>
      <c r="AA258" s="726"/>
      <c r="AB258" s="726"/>
      <c r="AC258" s="726"/>
      <c r="AD258" s="726"/>
      <c r="AE258" s="726"/>
      <c r="AF258" s="726"/>
      <c r="AG258" s="726"/>
      <c r="AH258" s="726"/>
      <c r="AI258" s="726"/>
      <c r="AJ258" s="726"/>
      <c r="AK258" s="726"/>
      <c r="AL258" s="726"/>
      <c r="AM258" s="726"/>
      <c r="AN258" s="726"/>
      <c r="AO258" s="726"/>
      <c r="AP258" s="726"/>
      <c r="AQ258" s="726"/>
      <c r="AR258" s="726"/>
      <c r="AS258" s="726"/>
      <c r="AT258" s="726"/>
      <c r="AU258" s="726"/>
      <c r="AV258" s="726"/>
      <c r="AW258" s="726"/>
      <c r="AX258" s="726"/>
      <c r="AY258" s="726"/>
      <c r="AZ258" s="726"/>
      <c r="BA258" s="726"/>
      <c r="BB258" s="726"/>
      <c r="BC258" s="726"/>
      <c r="BD258" s="726"/>
      <c r="BE258" s="726"/>
      <c r="BF258" s="726"/>
      <c r="BG258" s="726"/>
    </row>
    <row r="259" spans="1:59" x14ac:dyDescent="0.25">
      <c r="A259" s="729" t="s">
        <v>313</v>
      </c>
      <c r="B259" s="730">
        <v>2082</v>
      </c>
      <c r="C259" s="725">
        <f t="shared" si="4"/>
        <v>129.97501391953307</v>
      </c>
      <c r="D259" s="92"/>
      <c r="E259" s="726"/>
      <c r="F259" s="726"/>
      <c r="G259" s="726"/>
      <c r="H259" s="726"/>
      <c r="I259" s="745"/>
      <c r="K259" s="726"/>
      <c r="L259" s="726"/>
      <c r="M259" s="726"/>
      <c r="N259" s="726"/>
      <c r="O259" s="726"/>
      <c r="P259" s="726"/>
      <c r="Q259" s="726"/>
      <c r="R259" s="726"/>
      <c r="S259" s="726"/>
      <c r="T259" s="726"/>
      <c r="U259" s="726"/>
      <c r="V259" s="726"/>
      <c r="W259" s="726"/>
      <c r="X259" s="726"/>
      <c r="Y259" s="726"/>
      <c r="Z259" s="726"/>
      <c r="AA259" s="726"/>
      <c r="AB259" s="726"/>
      <c r="AC259" s="726"/>
      <c r="AD259" s="726"/>
      <c r="AE259" s="726"/>
      <c r="AF259" s="726"/>
      <c r="AG259" s="726"/>
      <c r="AH259" s="726"/>
      <c r="AI259" s="726"/>
      <c r="AJ259" s="726"/>
      <c r="AK259" s="726"/>
      <c r="AL259" s="726"/>
      <c r="AM259" s="726"/>
      <c r="AN259" s="726"/>
      <c r="AO259" s="726"/>
      <c r="AP259" s="726"/>
      <c r="AQ259" s="726"/>
      <c r="AR259" s="726"/>
      <c r="AS259" s="726"/>
      <c r="AT259" s="726"/>
      <c r="AU259" s="726"/>
      <c r="AV259" s="726"/>
      <c r="AW259" s="726"/>
      <c r="AX259" s="726"/>
      <c r="AY259" s="726"/>
      <c r="AZ259" s="726"/>
      <c r="BA259" s="726"/>
      <c r="BB259" s="726"/>
      <c r="BC259" s="726"/>
      <c r="BD259" s="726"/>
      <c r="BE259" s="726"/>
      <c r="BF259" s="726"/>
      <c r="BG259" s="726"/>
    </row>
    <row r="260" spans="1:59" x14ac:dyDescent="0.25">
      <c r="A260" s="729" t="s">
        <v>314</v>
      </c>
      <c r="B260" s="730">
        <v>1410</v>
      </c>
      <c r="C260" s="725">
        <f t="shared" si="4"/>
        <v>88.023424412363894</v>
      </c>
      <c r="D260" s="92"/>
      <c r="E260" s="726"/>
      <c r="F260" s="726"/>
      <c r="G260" s="726"/>
      <c r="H260" s="726"/>
      <c r="I260" s="745"/>
      <c r="K260" s="726"/>
      <c r="L260" s="726"/>
      <c r="M260" s="726"/>
      <c r="N260" s="726"/>
      <c r="O260" s="726"/>
      <c r="P260" s="726"/>
      <c r="Q260" s="726"/>
      <c r="R260" s="726"/>
      <c r="S260" s="726"/>
      <c r="T260" s="726"/>
      <c r="U260" s="726"/>
      <c r="V260" s="726"/>
      <c r="W260" s="726"/>
      <c r="X260" s="726"/>
      <c r="Y260" s="726"/>
      <c r="Z260" s="726"/>
      <c r="AA260" s="726"/>
      <c r="AB260" s="726"/>
      <c r="AC260" s="726"/>
      <c r="AD260" s="726"/>
      <c r="AE260" s="726"/>
      <c r="AF260" s="726"/>
      <c r="AG260" s="726"/>
      <c r="AH260" s="726"/>
      <c r="AI260" s="726"/>
      <c r="AJ260" s="726"/>
      <c r="AK260" s="726"/>
      <c r="AL260" s="726"/>
      <c r="AM260" s="726"/>
      <c r="AN260" s="726"/>
      <c r="AO260" s="726"/>
      <c r="AP260" s="726"/>
      <c r="AQ260" s="726"/>
      <c r="AR260" s="726"/>
      <c r="AS260" s="726"/>
      <c r="AT260" s="726"/>
      <c r="AU260" s="726"/>
      <c r="AV260" s="726"/>
      <c r="AW260" s="726"/>
      <c r="AX260" s="726"/>
      <c r="AY260" s="726"/>
      <c r="AZ260" s="726"/>
      <c r="BA260" s="726"/>
      <c r="BB260" s="726"/>
      <c r="BC260" s="726"/>
      <c r="BD260" s="726"/>
      <c r="BE260" s="726"/>
      <c r="BF260" s="726"/>
      <c r="BG260" s="726"/>
    </row>
    <row r="261" spans="1:59" x14ac:dyDescent="0.25">
      <c r="A261" s="727" t="s">
        <v>315</v>
      </c>
      <c r="B261" s="728">
        <v>2323</v>
      </c>
      <c r="C261" s="725">
        <f t="shared" si="4"/>
        <v>145.02015241838393</v>
      </c>
      <c r="D261" s="92"/>
      <c r="E261" s="726"/>
      <c r="F261" s="726"/>
      <c r="G261" s="726"/>
      <c r="H261" s="726"/>
      <c r="I261" s="745"/>
      <c r="K261" s="726"/>
      <c r="L261" s="726"/>
      <c r="M261" s="726"/>
      <c r="N261" s="726"/>
      <c r="O261" s="726"/>
      <c r="P261" s="726"/>
      <c r="Q261" s="726"/>
      <c r="R261" s="726"/>
      <c r="S261" s="726"/>
      <c r="T261" s="726"/>
      <c r="U261" s="726"/>
      <c r="V261" s="726"/>
      <c r="W261" s="726"/>
      <c r="X261" s="726"/>
      <c r="Y261" s="726"/>
      <c r="Z261" s="726"/>
      <c r="AA261" s="726"/>
      <c r="AB261" s="726"/>
      <c r="AC261" s="726"/>
      <c r="AD261" s="726"/>
      <c r="AE261" s="726"/>
      <c r="AF261" s="726"/>
      <c r="AG261" s="726"/>
      <c r="AH261" s="726"/>
      <c r="AI261" s="726"/>
      <c r="AJ261" s="726"/>
      <c r="AK261" s="726"/>
      <c r="AL261" s="726"/>
      <c r="AM261" s="726"/>
      <c r="AN261" s="726"/>
      <c r="AO261" s="726"/>
      <c r="AP261" s="726"/>
      <c r="AQ261" s="726"/>
      <c r="AR261" s="726"/>
      <c r="AS261" s="726"/>
      <c r="AT261" s="726"/>
      <c r="AU261" s="726"/>
      <c r="AV261" s="726"/>
      <c r="AW261" s="726"/>
      <c r="AX261" s="726"/>
      <c r="AY261" s="726"/>
      <c r="AZ261" s="726"/>
      <c r="BA261" s="726"/>
      <c r="BB261" s="726"/>
      <c r="BC261" s="726"/>
      <c r="BD261" s="726"/>
      <c r="BE261" s="726"/>
      <c r="BF261" s="726"/>
      <c r="BG261" s="726"/>
    </row>
    <row r="262" spans="1:59" x14ac:dyDescent="0.25">
      <c r="A262" s="727" t="s">
        <v>316</v>
      </c>
      <c r="B262" s="728">
        <v>210</v>
      </c>
      <c r="C262" s="725">
        <f t="shared" si="4"/>
        <v>13.109871720990368</v>
      </c>
      <c r="D262" s="92"/>
      <c r="E262" s="726"/>
      <c r="F262" s="726"/>
      <c r="G262" s="726"/>
      <c r="H262" s="726"/>
      <c r="I262" s="745"/>
      <c r="K262" s="726"/>
      <c r="L262" s="726"/>
      <c r="M262" s="726"/>
      <c r="N262" s="726"/>
      <c r="O262" s="726"/>
      <c r="P262" s="726"/>
      <c r="Q262" s="726"/>
      <c r="R262" s="726"/>
      <c r="S262" s="726"/>
      <c r="T262" s="726"/>
      <c r="U262" s="726"/>
      <c r="V262" s="726"/>
      <c r="W262" s="726"/>
      <c r="X262" s="726"/>
      <c r="Y262" s="726"/>
      <c r="Z262" s="726"/>
      <c r="AA262" s="726"/>
      <c r="AB262" s="726"/>
      <c r="AC262" s="726"/>
      <c r="AD262" s="726"/>
      <c r="AE262" s="726"/>
      <c r="AF262" s="726"/>
      <c r="AG262" s="726"/>
      <c r="AH262" s="726"/>
      <c r="AI262" s="726"/>
      <c r="AJ262" s="726"/>
      <c r="AK262" s="726"/>
      <c r="AL262" s="726"/>
      <c r="AM262" s="726"/>
      <c r="AN262" s="726"/>
      <c r="AO262" s="726"/>
      <c r="AP262" s="726"/>
      <c r="AQ262" s="726"/>
      <c r="AR262" s="726"/>
      <c r="AS262" s="726"/>
      <c r="AT262" s="726"/>
      <c r="AU262" s="726"/>
      <c r="AV262" s="726"/>
      <c r="AW262" s="726"/>
      <c r="AX262" s="726"/>
      <c r="AY262" s="726"/>
      <c r="AZ262" s="726"/>
      <c r="BA262" s="726"/>
      <c r="BB262" s="726"/>
      <c r="BC262" s="726"/>
      <c r="BD262" s="726"/>
      <c r="BE262" s="726"/>
      <c r="BF262" s="726"/>
      <c r="BG262" s="726"/>
    </row>
    <row r="263" spans="1:59" x14ac:dyDescent="0.25">
      <c r="A263" s="727" t="s">
        <v>70</v>
      </c>
      <c r="B263" s="728">
        <v>1389</v>
      </c>
      <c r="C263" s="725">
        <f t="shared" si="4"/>
        <v>86.712437240264862</v>
      </c>
      <c r="D263" s="92"/>
      <c r="E263" s="726"/>
      <c r="F263" s="726"/>
      <c r="G263" s="726"/>
      <c r="H263" s="726"/>
      <c r="I263" s="745"/>
      <c r="K263" s="726"/>
      <c r="L263" s="726"/>
      <c r="M263" s="726"/>
      <c r="N263" s="726"/>
      <c r="O263" s="726"/>
      <c r="P263" s="726"/>
      <c r="Q263" s="726"/>
      <c r="R263" s="726"/>
      <c r="S263" s="726"/>
      <c r="T263" s="726"/>
      <c r="U263" s="726"/>
      <c r="V263" s="726"/>
      <c r="W263" s="726"/>
      <c r="X263" s="726"/>
      <c r="Y263" s="726"/>
      <c r="Z263" s="726"/>
      <c r="AA263" s="726"/>
      <c r="AB263" s="726"/>
      <c r="AC263" s="726"/>
      <c r="AD263" s="726"/>
      <c r="AE263" s="726"/>
      <c r="AF263" s="726"/>
      <c r="AG263" s="726"/>
      <c r="AH263" s="726"/>
      <c r="AI263" s="726"/>
      <c r="AJ263" s="726"/>
      <c r="AK263" s="726"/>
      <c r="AL263" s="726"/>
      <c r="AM263" s="726"/>
      <c r="AN263" s="726"/>
      <c r="AO263" s="726"/>
      <c r="AP263" s="726"/>
      <c r="AQ263" s="726"/>
      <c r="AR263" s="726"/>
      <c r="AS263" s="726"/>
      <c r="AT263" s="726"/>
      <c r="AU263" s="726"/>
      <c r="AV263" s="726"/>
      <c r="AW263" s="726"/>
      <c r="AX263" s="726"/>
      <c r="AY263" s="726"/>
      <c r="AZ263" s="726"/>
      <c r="BA263" s="726"/>
      <c r="BB263" s="726"/>
      <c r="BC263" s="726"/>
      <c r="BD263" s="726"/>
      <c r="BE263" s="726"/>
      <c r="BF263" s="726"/>
      <c r="BG263" s="726"/>
    </row>
    <row r="264" spans="1:59" x14ac:dyDescent="0.25">
      <c r="A264" s="729" t="s">
        <v>317</v>
      </c>
      <c r="B264" s="730">
        <v>721</v>
      </c>
      <c r="C264" s="725">
        <f t="shared" si="4"/>
        <v>45.010559575400265</v>
      </c>
      <c r="D264" s="92"/>
      <c r="E264" s="726"/>
      <c r="F264" s="726"/>
      <c r="G264" s="726"/>
      <c r="H264" s="726"/>
      <c r="I264" s="745"/>
      <c r="K264" s="726"/>
      <c r="L264" s="726"/>
      <c r="M264" s="726"/>
      <c r="N264" s="726"/>
      <c r="O264" s="726"/>
      <c r="P264" s="726"/>
      <c r="Q264" s="726"/>
      <c r="R264" s="726"/>
      <c r="S264" s="726"/>
      <c r="T264" s="726"/>
      <c r="U264" s="726"/>
      <c r="V264" s="726"/>
      <c r="W264" s="726"/>
      <c r="X264" s="726"/>
      <c r="Y264" s="726"/>
      <c r="Z264" s="726"/>
      <c r="AA264" s="726"/>
      <c r="AB264" s="726"/>
      <c r="AC264" s="726"/>
      <c r="AD264" s="726"/>
      <c r="AE264" s="726"/>
      <c r="AF264" s="726"/>
      <c r="AG264" s="726"/>
      <c r="AH264" s="726"/>
      <c r="AI264" s="726"/>
      <c r="AJ264" s="726"/>
      <c r="AK264" s="726"/>
      <c r="AL264" s="726"/>
      <c r="AM264" s="726"/>
      <c r="AN264" s="726"/>
      <c r="AO264" s="726"/>
      <c r="AP264" s="726"/>
      <c r="AQ264" s="726"/>
      <c r="AR264" s="726"/>
      <c r="AS264" s="726"/>
      <c r="AT264" s="726"/>
      <c r="AU264" s="726"/>
      <c r="AV264" s="726"/>
      <c r="AW264" s="726"/>
      <c r="AX264" s="726"/>
      <c r="AY264" s="726"/>
      <c r="AZ264" s="726"/>
      <c r="BA264" s="726"/>
      <c r="BB264" s="726"/>
      <c r="BC264" s="726"/>
      <c r="BD264" s="726"/>
      <c r="BE264" s="726"/>
      <c r="BF264" s="726"/>
      <c r="BG264" s="726"/>
    </row>
    <row r="265" spans="1:59" x14ac:dyDescent="0.25">
      <c r="A265" s="727" t="s">
        <v>318</v>
      </c>
      <c r="B265" s="728">
        <v>1586</v>
      </c>
      <c r="C265" s="725">
        <f t="shared" si="4"/>
        <v>99.01074547376534</v>
      </c>
      <c r="D265" s="92"/>
      <c r="E265" s="726"/>
      <c r="F265" s="726"/>
      <c r="G265" s="726"/>
      <c r="H265" s="726"/>
      <c r="I265" s="745"/>
      <c r="K265" s="726"/>
      <c r="L265" s="726"/>
      <c r="M265" s="726"/>
      <c r="N265" s="726"/>
      <c r="O265" s="726"/>
      <c r="P265" s="726"/>
      <c r="Q265" s="726"/>
      <c r="R265" s="726"/>
      <c r="S265" s="726"/>
      <c r="T265" s="726"/>
      <c r="U265" s="726"/>
      <c r="V265" s="726"/>
      <c r="W265" s="726"/>
      <c r="X265" s="726"/>
      <c r="Y265" s="726"/>
      <c r="Z265" s="726"/>
      <c r="AA265" s="726"/>
      <c r="AB265" s="726"/>
      <c r="AC265" s="726"/>
      <c r="AD265" s="726"/>
      <c r="AE265" s="726"/>
      <c r="AF265" s="726"/>
      <c r="AG265" s="726"/>
      <c r="AH265" s="726"/>
      <c r="AI265" s="726"/>
      <c r="AJ265" s="726"/>
      <c r="AK265" s="726"/>
      <c r="AL265" s="726"/>
      <c r="AM265" s="726"/>
      <c r="AN265" s="726"/>
      <c r="AO265" s="726"/>
      <c r="AP265" s="726"/>
      <c r="AQ265" s="726"/>
      <c r="AR265" s="726"/>
      <c r="AS265" s="726"/>
      <c r="AT265" s="726"/>
      <c r="AU265" s="726"/>
      <c r="AV265" s="726"/>
      <c r="AW265" s="726"/>
      <c r="AX265" s="726"/>
      <c r="AY265" s="726"/>
      <c r="AZ265" s="726"/>
      <c r="BA265" s="726"/>
      <c r="BB265" s="726"/>
      <c r="BC265" s="726"/>
      <c r="BD265" s="726"/>
      <c r="BE265" s="726"/>
      <c r="BF265" s="726"/>
      <c r="BG265" s="726"/>
    </row>
    <row r="266" spans="1:59" x14ac:dyDescent="0.25">
      <c r="A266" s="729" t="s">
        <v>319</v>
      </c>
      <c r="B266" s="730">
        <v>2675</v>
      </c>
      <c r="C266" s="725">
        <f t="shared" si="4"/>
        <v>166.99479454118682</v>
      </c>
      <c r="D266" s="92"/>
      <c r="E266" s="726"/>
      <c r="F266" s="726"/>
      <c r="G266" s="726"/>
      <c r="H266" s="726"/>
      <c r="I266" s="745"/>
      <c r="K266" s="726"/>
      <c r="L266" s="726"/>
      <c r="M266" s="726"/>
      <c r="N266" s="726"/>
      <c r="O266" s="726"/>
      <c r="P266" s="726"/>
      <c r="Q266" s="726"/>
      <c r="R266" s="726"/>
      <c r="S266" s="726"/>
      <c r="T266" s="726"/>
      <c r="U266" s="726"/>
      <c r="V266" s="726"/>
      <c r="W266" s="726"/>
      <c r="X266" s="726"/>
      <c r="Y266" s="726"/>
      <c r="Z266" s="726"/>
      <c r="AA266" s="726"/>
      <c r="AB266" s="726"/>
      <c r="AC266" s="726"/>
      <c r="AD266" s="726"/>
      <c r="AE266" s="726"/>
      <c r="AF266" s="726"/>
      <c r="AG266" s="726"/>
      <c r="AH266" s="726"/>
      <c r="AI266" s="726"/>
      <c r="AJ266" s="726"/>
      <c r="AK266" s="726"/>
      <c r="AL266" s="726"/>
      <c r="AM266" s="726"/>
      <c r="AN266" s="726"/>
      <c r="AO266" s="726"/>
      <c r="AP266" s="726"/>
      <c r="AQ266" s="726"/>
      <c r="AR266" s="726"/>
      <c r="AS266" s="726"/>
      <c r="AT266" s="726"/>
      <c r="AU266" s="726"/>
      <c r="AV266" s="726"/>
      <c r="AW266" s="726"/>
      <c r="AX266" s="726"/>
      <c r="AY266" s="726"/>
      <c r="AZ266" s="726"/>
      <c r="BA266" s="726"/>
      <c r="BB266" s="726"/>
      <c r="BC266" s="726"/>
      <c r="BD266" s="726"/>
      <c r="BE266" s="726"/>
      <c r="BF266" s="726"/>
      <c r="BG266" s="726"/>
    </row>
    <row r="267" spans="1:59" x14ac:dyDescent="0.25">
      <c r="A267" s="727" t="s">
        <v>320</v>
      </c>
      <c r="B267" s="728">
        <v>800</v>
      </c>
      <c r="C267" s="725">
        <f t="shared" si="4"/>
        <v>49.942368460915681</v>
      </c>
      <c r="D267" s="92"/>
      <c r="E267" s="726"/>
      <c r="F267" s="726"/>
      <c r="G267" s="726"/>
      <c r="H267" s="726"/>
      <c r="I267" s="745"/>
      <c r="K267" s="726"/>
      <c r="L267" s="726"/>
      <c r="M267" s="726"/>
      <c r="N267" s="726"/>
      <c r="O267" s="726"/>
      <c r="P267" s="726"/>
      <c r="Q267" s="726"/>
      <c r="R267" s="726"/>
      <c r="S267" s="726"/>
      <c r="T267" s="726"/>
      <c r="U267" s="726"/>
      <c r="V267" s="726"/>
      <c r="W267" s="726"/>
      <c r="X267" s="726"/>
      <c r="Y267" s="726"/>
      <c r="Z267" s="726"/>
      <c r="AA267" s="726"/>
      <c r="AB267" s="726"/>
      <c r="AC267" s="726"/>
      <c r="AD267" s="726"/>
      <c r="AE267" s="726"/>
      <c r="AF267" s="726"/>
      <c r="AG267" s="726"/>
      <c r="AH267" s="726"/>
      <c r="AI267" s="726"/>
      <c r="AJ267" s="726"/>
      <c r="AK267" s="726"/>
      <c r="AL267" s="726"/>
      <c r="AM267" s="726"/>
      <c r="AN267" s="726"/>
      <c r="AO267" s="726"/>
      <c r="AP267" s="726"/>
      <c r="AQ267" s="726"/>
      <c r="AR267" s="726"/>
      <c r="AS267" s="726"/>
      <c r="AT267" s="726"/>
      <c r="AU267" s="726"/>
      <c r="AV267" s="726"/>
      <c r="AW267" s="726"/>
      <c r="AX267" s="726"/>
      <c r="AY267" s="726"/>
      <c r="AZ267" s="726"/>
      <c r="BA267" s="726"/>
      <c r="BB267" s="726"/>
      <c r="BC267" s="726"/>
      <c r="BD267" s="726"/>
      <c r="BE267" s="726"/>
      <c r="BF267" s="726"/>
      <c r="BG267" s="726"/>
    </row>
    <row r="268" spans="1:59" x14ac:dyDescent="0.25">
      <c r="A268" s="729" t="s">
        <v>321</v>
      </c>
      <c r="B268" s="730">
        <v>1890</v>
      </c>
      <c r="C268" s="725">
        <f t="shared" si="4"/>
        <v>117.9888454889133</v>
      </c>
      <c r="D268" s="92"/>
      <c r="E268" s="726"/>
      <c r="F268" s="726"/>
      <c r="G268" s="726"/>
      <c r="H268" s="726"/>
      <c r="I268" s="745"/>
      <c r="K268" s="726"/>
      <c r="L268" s="726"/>
      <c r="M268" s="726"/>
      <c r="N268" s="726"/>
      <c r="O268" s="726"/>
      <c r="P268" s="726"/>
      <c r="Q268" s="726"/>
      <c r="R268" s="726"/>
      <c r="S268" s="726"/>
      <c r="T268" s="726"/>
      <c r="U268" s="726"/>
      <c r="V268" s="726"/>
      <c r="W268" s="726"/>
      <c r="X268" s="726"/>
      <c r="Y268" s="726"/>
      <c r="Z268" s="726"/>
      <c r="AA268" s="726"/>
      <c r="AB268" s="726"/>
      <c r="AC268" s="726"/>
      <c r="AD268" s="726"/>
      <c r="AE268" s="726"/>
      <c r="AF268" s="726"/>
      <c r="AG268" s="726"/>
      <c r="AH268" s="726"/>
      <c r="AI268" s="726"/>
      <c r="AJ268" s="726"/>
      <c r="AK268" s="726"/>
      <c r="AL268" s="726"/>
      <c r="AM268" s="726"/>
      <c r="AN268" s="726"/>
      <c r="AO268" s="726"/>
      <c r="AP268" s="726"/>
      <c r="AQ268" s="726"/>
      <c r="AR268" s="726"/>
      <c r="AS268" s="726"/>
      <c r="AT268" s="726"/>
      <c r="AU268" s="726"/>
      <c r="AV268" s="726"/>
      <c r="AW268" s="726"/>
      <c r="AX268" s="726"/>
      <c r="AY268" s="726"/>
      <c r="AZ268" s="726"/>
      <c r="BA268" s="726"/>
      <c r="BB268" s="726"/>
      <c r="BC268" s="726"/>
      <c r="BD268" s="726"/>
      <c r="BE268" s="726"/>
      <c r="BF268" s="726"/>
      <c r="BG268" s="726"/>
    </row>
    <row r="269" spans="1:59" x14ac:dyDescent="0.25">
      <c r="A269" s="727" t="s">
        <v>322</v>
      </c>
      <c r="B269" s="728">
        <v>1762</v>
      </c>
      <c r="C269" s="725">
        <f t="shared" si="4"/>
        <v>109.99806653516679</v>
      </c>
      <c r="D269" s="92"/>
      <c r="E269" s="726"/>
      <c r="F269" s="726"/>
      <c r="G269" s="726"/>
      <c r="H269" s="726"/>
      <c r="I269" s="745"/>
      <c r="K269" s="726"/>
      <c r="L269" s="726"/>
      <c r="M269" s="726"/>
      <c r="N269" s="726"/>
      <c r="O269" s="726"/>
      <c r="P269" s="726"/>
      <c r="Q269" s="726"/>
      <c r="R269" s="726"/>
      <c r="S269" s="726"/>
      <c r="T269" s="726"/>
      <c r="U269" s="726"/>
      <c r="V269" s="726"/>
      <c r="W269" s="726"/>
      <c r="X269" s="726"/>
      <c r="Y269" s="726"/>
      <c r="Z269" s="726"/>
      <c r="AA269" s="726"/>
      <c r="AB269" s="726"/>
      <c r="AC269" s="726"/>
      <c r="AD269" s="726"/>
      <c r="AE269" s="726"/>
      <c r="AF269" s="726"/>
      <c r="AG269" s="726"/>
      <c r="AH269" s="726"/>
      <c r="AI269" s="726"/>
      <c r="AJ269" s="726"/>
      <c r="AK269" s="726"/>
      <c r="AL269" s="726"/>
      <c r="AM269" s="726"/>
      <c r="AN269" s="726"/>
      <c r="AO269" s="726"/>
      <c r="AP269" s="726"/>
      <c r="AQ269" s="726"/>
      <c r="AR269" s="726"/>
      <c r="AS269" s="726"/>
      <c r="AT269" s="726"/>
      <c r="AU269" s="726"/>
      <c r="AV269" s="726"/>
      <c r="AW269" s="726"/>
      <c r="AX269" s="726"/>
      <c r="AY269" s="726"/>
      <c r="AZ269" s="726"/>
      <c r="BA269" s="726"/>
      <c r="BB269" s="726"/>
      <c r="BC269" s="726"/>
      <c r="BD269" s="726"/>
      <c r="BE269" s="726"/>
      <c r="BF269" s="726"/>
      <c r="BG269" s="726"/>
    </row>
    <row r="270" spans="1:59" x14ac:dyDescent="0.25">
      <c r="A270" s="727" t="s">
        <v>323</v>
      </c>
      <c r="B270" s="728">
        <v>1185</v>
      </c>
      <c r="C270" s="725">
        <f t="shared" si="4"/>
        <v>73.977133282731359</v>
      </c>
      <c r="D270" s="92"/>
      <c r="E270" s="726"/>
      <c r="F270" s="726"/>
      <c r="G270" s="726"/>
      <c r="H270" s="726"/>
      <c r="I270" s="745"/>
      <c r="K270" s="726"/>
      <c r="L270" s="726"/>
      <c r="M270" s="726"/>
      <c r="N270" s="726"/>
      <c r="O270" s="726"/>
      <c r="P270" s="726"/>
      <c r="Q270" s="726"/>
      <c r="R270" s="726"/>
      <c r="S270" s="726"/>
      <c r="T270" s="726"/>
      <c r="U270" s="726"/>
      <c r="V270" s="726"/>
      <c r="W270" s="726"/>
      <c r="X270" s="726"/>
      <c r="Y270" s="726"/>
      <c r="Z270" s="726"/>
      <c r="AA270" s="726"/>
      <c r="AB270" s="726"/>
      <c r="AC270" s="726"/>
      <c r="AD270" s="726"/>
      <c r="AE270" s="726"/>
      <c r="AF270" s="726"/>
      <c r="AG270" s="726"/>
      <c r="AH270" s="726"/>
      <c r="AI270" s="726"/>
      <c r="AJ270" s="726"/>
      <c r="AK270" s="726"/>
      <c r="AL270" s="726"/>
      <c r="AM270" s="726"/>
      <c r="AN270" s="726"/>
      <c r="AO270" s="726"/>
      <c r="AP270" s="726"/>
      <c r="AQ270" s="726"/>
      <c r="AR270" s="726"/>
      <c r="AS270" s="726"/>
      <c r="AT270" s="726"/>
      <c r="AU270" s="726"/>
      <c r="AV270" s="726"/>
      <c r="AW270" s="726"/>
      <c r="AX270" s="726"/>
      <c r="AY270" s="726"/>
      <c r="AZ270" s="726"/>
      <c r="BA270" s="726"/>
      <c r="BB270" s="726"/>
      <c r="BC270" s="726"/>
      <c r="BD270" s="726"/>
      <c r="BE270" s="726"/>
      <c r="BF270" s="726"/>
      <c r="BG270" s="726"/>
    </row>
    <row r="271" spans="1:59" x14ac:dyDescent="0.25">
      <c r="A271" s="729" t="s">
        <v>324</v>
      </c>
      <c r="B271" s="730">
        <v>961</v>
      </c>
      <c r="C271" s="725">
        <f t="shared" si="4"/>
        <v>59.993270113674967</v>
      </c>
      <c r="D271" s="92"/>
      <c r="E271" s="726"/>
      <c r="F271" s="726"/>
      <c r="G271" s="726"/>
      <c r="H271" s="726"/>
      <c r="I271" s="745"/>
      <c r="K271" s="726"/>
      <c r="L271" s="726"/>
      <c r="M271" s="726"/>
      <c r="N271" s="726"/>
      <c r="O271" s="726"/>
      <c r="P271" s="726"/>
      <c r="Q271" s="726"/>
      <c r="R271" s="726"/>
      <c r="S271" s="726"/>
      <c r="T271" s="726"/>
      <c r="U271" s="726"/>
      <c r="V271" s="726"/>
      <c r="W271" s="726"/>
      <c r="X271" s="726"/>
      <c r="Y271" s="726"/>
      <c r="Z271" s="726"/>
      <c r="AA271" s="726"/>
      <c r="AB271" s="726"/>
      <c r="AC271" s="726"/>
      <c r="AD271" s="726"/>
      <c r="AE271" s="726"/>
      <c r="AF271" s="726"/>
      <c r="AG271" s="726"/>
      <c r="AH271" s="726"/>
      <c r="AI271" s="726"/>
      <c r="AJ271" s="726"/>
      <c r="AK271" s="726"/>
      <c r="AL271" s="726"/>
      <c r="AM271" s="726"/>
      <c r="AN271" s="726"/>
      <c r="AO271" s="726"/>
      <c r="AP271" s="726"/>
      <c r="AQ271" s="726"/>
      <c r="AR271" s="726"/>
      <c r="AS271" s="726"/>
      <c r="AT271" s="726"/>
      <c r="AU271" s="726"/>
      <c r="AV271" s="726"/>
      <c r="AW271" s="726"/>
      <c r="AX271" s="726"/>
      <c r="AY271" s="726"/>
      <c r="AZ271" s="726"/>
      <c r="BA271" s="726"/>
      <c r="BB271" s="726"/>
      <c r="BC271" s="726"/>
      <c r="BD271" s="726"/>
      <c r="BE271" s="726"/>
      <c r="BF271" s="726"/>
      <c r="BG271" s="726"/>
    </row>
    <row r="272" spans="1:59" x14ac:dyDescent="0.25">
      <c r="A272" s="729" t="s">
        <v>325</v>
      </c>
      <c r="B272" s="730">
        <v>2114</v>
      </c>
      <c r="C272" s="725">
        <f t="shared" si="4"/>
        <v>131.97270865796969</v>
      </c>
      <c r="D272" s="92"/>
      <c r="E272" s="726"/>
      <c r="F272" s="726"/>
      <c r="G272" s="726"/>
      <c r="H272" s="726"/>
      <c r="I272" s="745"/>
      <c r="K272" s="726"/>
      <c r="L272" s="726"/>
      <c r="M272" s="726"/>
      <c r="N272" s="726"/>
      <c r="O272" s="726"/>
      <c r="P272" s="726"/>
      <c r="Q272" s="726"/>
      <c r="R272" s="726"/>
      <c r="S272" s="726"/>
      <c r="T272" s="726"/>
      <c r="U272" s="726"/>
      <c r="V272" s="726"/>
      <c r="W272" s="726"/>
      <c r="X272" s="726"/>
      <c r="Y272" s="726"/>
      <c r="Z272" s="726"/>
      <c r="AA272" s="726"/>
      <c r="AB272" s="726"/>
      <c r="AC272" s="726"/>
      <c r="AD272" s="726"/>
      <c r="AE272" s="726"/>
      <c r="AF272" s="726"/>
      <c r="AG272" s="726"/>
      <c r="AH272" s="726"/>
      <c r="AI272" s="726"/>
      <c r="AJ272" s="726"/>
      <c r="AK272" s="726"/>
      <c r="AL272" s="726"/>
      <c r="AM272" s="726"/>
      <c r="AN272" s="726"/>
      <c r="AO272" s="726"/>
      <c r="AP272" s="726"/>
      <c r="AQ272" s="726"/>
      <c r="AR272" s="726"/>
      <c r="AS272" s="726"/>
      <c r="AT272" s="726"/>
      <c r="AU272" s="726"/>
      <c r="AV272" s="726"/>
      <c r="AW272" s="726"/>
      <c r="AX272" s="726"/>
      <c r="AY272" s="726"/>
      <c r="AZ272" s="726"/>
      <c r="BA272" s="726"/>
      <c r="BB272" s="726"/>
      <c r="BC272" s="726"/>
      <c r="BD272" s="726"/>
      <c r="BE272" s="726"/>
      <c r="BF272" s="726"/>
      <c r="BG272" s="726"/>
    </row>
    <row r="273" spans="1:59" x14ac:dyDescent="0.25">
      <c r="A273" s="727" t="s">
        <v>326</v>
      </c>
      <c r="B273" s="728">
        <v>1370</v>
      </c>
      <c r="C273" s="725">
        <f t="shared" si="4"/>
        <v>85.526305989318104</v>
      </c>
      <c r="D273" s="92"/>
      <c r="E273" s="726"/>
      <c r="F273" s="726"/>
      <c r="G273" s="726"/>
      <c r="H273" s="726"/>
      <c r="I273" s="745"/>
      <c r="K273" s="726"/>
      <c r="L273" s="726"/>
      <c r="M273" s="726"/>
      <c r="N273" s="726"/>
      <c r="O273" s="726"/>
      <c r="P273" s="726"/>
      <c r="Q273" s="726"/>
      <c r="R273" s="726"/>
      <c r="S273" s="726"/>
      <c r="T273" s="726"/>
      <c r="U273" s="726"/>
      <c r="V273" s="726"/>
      <c r="W273" s="726"/>
      <c r="X273" s="726"/>
      <c r="Y273" s="726"/>
      <c r="Z273" s="726"/>
      <c r="AA273" s="726"/>
      <c r="AB273" s="726"/>
      <c r="AC273" s="726"/>
      <c r="AD273" s="726"/>
      <c r="AE273" s="726"/>
      <c r="AF273" s="726"/>
      <c r="AG273" s="726"/>
      <c r="AH273" s="726"/>
      <c r="AI273" s="726"/>
      <c r="AJ273" s="726"/>
      <c r="AK273" s="726"/>
      <c r="AL273" s="726"/>
      <c r="AM273" s="726"/>
      <c r="AN273" s="726"/>
      <c r="AO273" s="726"/>
      <c r="AP273" s="726"/>
      <c r="AQ273" s="726"/>
      <c r="AR273" s="726"/>
      <c r="AS273" s="726"/>
      <c r="AT273" s="726"/>
      <c r="AU273" s="726"/>
      <c r="AV273" s="726"/>
      <c r="AW273" s="726"/>
      <c r="AX273" s="726"/>
      <c r="AY273" s="726"/>
      <c r="AZ273" s="726"/>
      <c r="BA273" s="726"/>
      <c r="BB273" s="726"/>
      <c r="BC273" s="726"/>
      <c r="BD273" s="726"/>
      <c r="BE273" s="726"/>
      <c r="BF273" s="726"/>
      <c r="BG273" s="726"/>
    </row>
    <row r="274" spans="1:59" x14ac:dyDescent="0.25">
      <c r="A274" s="729" t="s">
        <v>327</v>
      </c>
      <c r="B274" s="730">
        <v>1362</v>
      </c>
      <c r="C274" s="725">
        <f t="shared" ref="C274:C330" si="5">(B274*(2.20462262184877))/35.3146667214885</f>
        <v>85.026882304708948</v>
      </c>
      <c r="D274" s="92"/>
      <c r="E274" s="726"/>
      <c r="F274" s="726"/>
      <c r="G274" s="726"/>
      <c r="H274" s="726"/>
      <c r="I274" s="745"/>
      <c r="K274" s="726"/>
      <c r="L274" s="726"/>
      <c r="M274" s="726"/>
      <c r="N274" s="726"/>
      <c r="O274" s="726"/>
      <c r="P274" s="726"/>
      <c r="Q274" s="726"/>
      <c r="R274" s="726"/>
      <c r="S274" s="726"/>
      <c r="T274" s="726"/>
      <c r="U274" s="726"/>
      <c r="V274" s="726"/>
      <c r="W274" s="726"/>
      <c r="X274" s="726"/>
      <c r="Y274" s="726"/>
      <c r="Z274" s="726"/>
      <c r="AA274" s="726"/>
      <c r="AB274" s="726"/>
      <c r="AC274" s="726"/>
      <c r="AD274" s="726"/>
      <c r="AE274" s="726"/>
      <c r="AF274" s="726"/>
      <c r="AG274" s="726"/>
      <c r="AH274" s="726"/>
      <c r="AI274" s="726"/>
      <c r="AJ274" s="726"/>
      <c r="AK274" s="726"/>
      <c r="AL274" s="726"/>
      <c r="AM274" s="726"/>
      <c r="AN274" s="726"/>
      <c r="AO274" s="726"/>
      <c r="AP274" s="726"/>
      <c r="AQ274" s="726"/>
      <c r="AR274" s="726"/>
      <c r="AS274" s="726"/>
      <c r="AT274" s="726"/>
      <c r="AU274" s="726"/>
      <c r="AV274" s="726"/>
      <c r="AW274" s="726"/>
      <c r="AX274" s="726"/>
      <c r="AY274" s="726"/>
      <c r="AZ274" s="726"/>
      <c r="BA274" s="726"/>
      <c r="BB274" s="726"/>
      <c r="BC274" s="726"/>
      <c r="BD274" s="726"/>
      <c r="BE274" s="726"/>
      <c r="BF274" s="726"/>
      <c r="BG274" s="726"/>
    </row>
    <row r="275" spans="1:59" x14ac:dyDescent="0.25">
      <c r="A275" s="727" t="s">
        <v>328</v>
      </c>
      <c r="B275" s="728">
        <v>2691</v>
      </c>
      <c r="C275" s="725">
        <f t="shared" si="5"/>
        <v>167.99364191040513</v>
      </c>
      <c r="D275" s="92"/>
      <c r="E275" s="726"/>
      <c r="F275" s="726"/>
      <c r="G275" s="726"/>
      <c r="H275" s="726"/>
      <c r="I275" s="745"/>
      <c r="K275" s="726"/>
      <c r="L275" s="726"/>
      <c r="M275" s="726"/>
      <c r="N275" s="726"/>
      <c r="O275" s="726"/>
      <c r="P275" s="726"/>
      <c r="Q275" s="726"/>
      <c r="R275" s="726"/>
      <c r="S275" s="726"/>
      <c r="T275" s="726"/>
      <c r="U275" s="726"/>
      <c r="V275" s="726"/>
      <c r="W275" s="726"/>
      <c r="X275" s="726"/>
      <c r="Y275" s="726"/>
      <c r="Z275" s="726"/>
      <c r="AA275" s="726"/>
      <c r="AB275" s="726"/>
      <c r="AC275" s="726"/>
      <c r="AD275" s="726"/>
      <c r="AE275" s="726"/>
      <c r="AF275" s="726"/>
      <c r="AG275" s="726"/>
      <c r="AH275" s="726"/>
      <c r="AI275" s="726"/>
      <c r="AJ275" s="726"/>
      <c r="AK275" s="726"/>
      <c r="AL275" s="726"/>
      <c r="AM275" s="726"/>
      <c r="AN275" s="726"/>
      <c r="AO275" s="726"/>
      <c r="AP275" s="726"/>
      <c r="AQ275" s="726"/>
      <c r="AR275" s="726"/>
      <c r="AS275" s="726"/>
      <c r="AT275" s="726"/>
      <c r="AU275" s="726"/>
      <c r="AV275" s="726"/>
      <c r="AW275" s="726"/>
      <c r="AX275" s="726"/>
      <c r="AY275" s="726"/>
      <c r="AZ275" s="726"/>
      <c r="BA275" s="726"/>
      <c r="BB275" s="726"/>
      <c r="BC275" s="726"/>
      <c r="BD275" s="726"/>
      <c r="BE275" s="726"/>
      <c r="BF275" s="726"/>
      <c r="BG275" s="726"/>
    </row>
    <row r="276" spans="1:59" x14ac:dyDescent="0.25">
      <c r="A276" s="729" t="s">
        <v>329</v>
      </c>
      <c r="B276" s="730">
        <v>4300</v>
      </c>
      <c r="C276" s="725">
        <f t="shared" si="5"/>
        <v>268.44023047742178</v>
      </c>
      <c r="D276" s="92"/>
      <c r="E276" s="726"/>
      <c r="F276" s="726"/>
      <c r="G276" s="726"/>
      <c r="H276" s="726"/>
      <c r="I276" s="745"/>
      <c r="K276" s="726"/>
      <c r="L276" s="726"/>
      <c r="M276" s="726"/>
      <c r="N276" s="726"/>
      <c r="O276" s="726"/>
      <c r="P276" s="726"/>
      <c r="Q276" s="726"/>
      <c r="R276" s="726"/>
      <c r="S276" s="726"/>
      <c r="T276" s="726"/>
      <c r="U276" s="726"/>
      <c r="V276" s="726"/>
      <c r="W276" s="726"/>
      <c r="X276" s="726"/>
      <c r="Y276" s="726"/>
      <c r="Z276" s="726"/>
      <c r="AA276" s="726"/>
      <c r="AB276" s="726"/>
      <c r="AC276" s="726"/>
      <c r="AD276" s="726"/>
      <c r="AE276" s="726"/>
      <c r="AF276" s="726"/>
      <c r="AG276" s="726"/>
      <c r="AH276" s="726"/>
      <c r="AI276" s="726"/>
      <c r="AJ276" s="726"/>
      <c r="AK276" s="726"/>
      <c r="AL276" s="726"/>
      <c r="AM276" s="726"/>
      <c r="AN276" s="726"/>
      <c r="AO276" s="726"/>
      <c r="AP276" s="726"/>
      <c r="AQ276" s="726"/>
      <c r="AR276" s="726"/>
      <c r="AS276" s="726"/>
      <c r="AT276" s="726"/>
      <c r="AU276" s="726"/>
      <c r="AV276" s="726"/>
      <c r="AW276" s="726"/>
      <c r="AX276" s="726"/>
      <c r="AY276" s="726"/>
      <c r="AZ276" s="726"/>
      <c r="BA276" s="726"/>
      <c r="BB276" s="726"/>
      <c r="BC276" s="726"/>
      <c r="BD276" s="726"/>
      <c r="BE276" s="726"/>
      <c r="BF276" s="726"/>
      <c r="BG276" s="726"/>
    </row>
    <row r="277" spans="1:59" x14ac:dyDescent="0.25">
      <c r="A277" s="727" t="s">
        <v>330</v>
      </c>
      <c r="B277" s="728">
        <v>481</v>
      </c>
      <c r="C277" s="725">
        <f t="shared" si="5"/>
        <v>30.027849037125556</v>
      </c>
      <c r="D277" s="92"/>
      <c r="E277" s="726"/>
      <c r="F277" s="726"/>
      <c r="G277" s="726"/>
      <c r="H277" s="726"/>
      <c r="I277" s="745"/>
      <c r="K277" s="726"/>
      <c r="L277" s="726"/>
      <c r="M277" s="726"/>
      <c r="N277" s="726"/>
      <c r="O277" s="726"/>
      <c r="P277" s="726"/>
      <c r="Q277" s="726"/>
      <c r="R277" s="726"/>
      <c r="S277" s="726"/>
      <c r="T277" s="726"/>
      <c r="U277" s="726"/>
      <c r="V277" s="726"/>
      <c r="W277" s="726"/>
      <c r="X277" s="726"/>
      <c r="Y277" s="726"/>
      <c r="Z277" s="726"/>
      <c r="AA277" s="726"/>
      <c r="AB277" s="726"/>
      <c r="AC277" s="726"/>
      <c r="AD277" s="726"/>
      <c r="AE277" s="726"/>
      <c r="AF277" s="726"/>
      <c r="AG277" s="726"/>
      <c r="AH277" s="726"/>
      <c r="AI277" s="726"/>
      <c r="AJ277" s="726"/>
      <c r="AK277" s="726"/>
      <c r="AL277" s="726"/>
      <c r="AM277" s="726"/>
      <c r="AN277" s="726"/>
      <c r="AO277" s="726"/>
      <c r="AP277" s="726"/>
      <c r="AQ277" s="726"/>
      <c r="AR277" s="726"/>
      <c r="AS277" s="726"/>
      <c r="AT277" s="726"/>
      <c r="AU277" s="726"/>
      <c r="AV277" s="726"/>
      <c r="AW277" s="726"/>
      <c r="AX277" s="726"/>
      <c r="AY277" s="726"/>
      <c r="AZ277" s="726"/>
      <c r="BA277" s="726"/>
      <c r="BB277" s="726"/>
      <c r="BC277" s="726"/>
      <c r="BD277" s="726"/>
      <c r="BE277" s="726"/>
      <c r="BF277" s="726"/>
      <c r="BG277" s="726"/>
    </row>
    <row r="278" spans="1:59" x14ac:dyDescent="0.25">
      <c r="A278" s="727" t="s">
        <v>331</v>
      </c>
      <c r="B278" s="728">
        <v>160</v>
      </c>
      <c r="C278" s="725">
        <f t="shared" si="5"/>
        <v>9.9884736921831365</v>
      </c>
      <c r="D278" s="92"/>
      <c r="E278" s="726"/>
      <c r="F278" s="726"/>
      <c r="G278" s="726"/>
      <c r="H278" s="726"/>
      <c r="I278" s="745"/>
      <c r="K278" s="726"/>
      <c r="L278" s="726"/>
      <c r="M278" s="726"/>
      <c r="N278" s="726"/>
      <c r="O278" s="726"/>
      <c r="P278" s="726"/>
      <c r="Q278" s="726"/>
      <c r="R278" s="726"/>
      <c r="S278" s="726"/>
      <c r="T278" s="726"/>
      <c r="U278" s="726"/>
      <c r="V278" s="726"/>
      <c r="W278" s="726"/>
      <c r="X278" s="726"/>
      <c r="Y278" s="726"/>
      <c r="Z278" s="726"/>
      <c r="AA278" s="726"/>
      <c r="AB278" s="726"/>
      <c r="AC278" s="726"/>
      <c r="AD278" s="726"/>
      <c r="AE278" s="726"/>
      <c r="AF278" s="726"/>
      <c r="AG278" s="726"/>
      <c r="AH278" s="726"/>
      <c r="AI278" s="726"/>
      <c r="AJ278" s="726"/>
      <c r="AK278" s="726"/>
      <c r="AL278" s="726"/>
      <c r="AM278" s="726"/>
      <c r="AN278" s="726"/>
      <c r="AO278" s="726"/>
      <c r="AP278" s="726"/>
      <c r="AQ278" s="726"/>
      <c r="AR278" s="726"/>
      <c r="AS278" s="726"/>
      <c r="AT278" s="726"/>
      <c r="AU278" s="726"/>
      <c r="AV278" s="726"/>
      <c r="AW278" s="726"/>
      <c r="AX278" s="726"/>
      <c r="AY278" s="726"/>
      <c r="AZ278" s="726"/>
      <c r="BA278" s="726"/>
      <c r="BB278" s="726"/>
      <c r="BC278" s="726"/>
      <c r="BD278" s="726"/>
      <c r="BE278" s="726"/>
      <c r="BF278" s="726"/>
      <c r="BG278" s="726"/>
    </row>
    <row r="279" spans="1:59" x14ac:dyDescent="0.25">
      <c r="A279" s="729" t="s">
        <v>332</v>
      </c>
      <c r="B279" s="730">
        <v>160</v>
      </c>
      <c r="C279" s="725">
        <f t="shared" si="5"/>
        <v>9.9884736921831365</v>
      </c>
      <c r="D279" s="92"/>
      <c r="E279" s="726"/>
      <c r="F279" s="726"/>
      <c r="G279" s="726"/>
      <c r="H279" s="726"/>
      <c r="I279" s="745"/>
      <c r="K279" s="726"/>
      <c r="L279" s="726"/>
      <c r="M279" s="726"/>
      <c r="N279" s="726"/>
      <c r="O279" s="726"/>
      <c r="P279" s="726"/>
      <c r="Q279" s="726"/>
      <c r="R279" s="726"/>
      <c r="S279" s="726"/>
      <c r="T279" s="726"/>
      <c r="U279" s="726"/>
      <c r="V279" s="726"/>
      <c r="W279" s="726"/>
      <c r="X279" s="726"/>
      <c r="Y279" s="726"/>
      <c r="Z279" s="726"/>
      <c r="AA279" s="726"/>
      <c r="AB279" s="726"/>
      <c r="AC279" s="726"/>
      <c r="AD279" s="726"/>
      <c r="AE279" s="726"/>
      <c r="AF279" s="726"/>
      <c r="AG279" s="726"/>
      <c r="AH279" s="726"/>
      <c r="AI279" s="726"/>
      <c r="AJ279" s="726"/>
      <c r="AK279" s="726"/>
      <c r="AL279" s="726"/>
      <c r="AM279" s="726"/>
      <c r="AN279" s="726"/>
      <c r="AO279" s="726"/>
      <c r="AP279" s="726"/>
      <c r="AQ279" s="726"/>
      <c r="AR279" s="726"/>
      <c r="AS279" s="726"/>
      <c r="AT279" s="726"/>
      <c r="AU279" s="726"/>
      <c r="AV279" s="726"/>
      <c r="AW279" s="726"/>
      <c r="AX279" s="726"/>
      <c r="AY279" s="726"/>
      <c r="AZ279" s="726"/>
      <c r="BA279" s="726"/>
      <c r="BB279" s="726"/>
      <c r="BC279" s="726"/>
      <c r="BD279" s="726"/>
      <c r="BE279" s="726"/>
      <c r="BF279" s="726"/>
      <c r="BG279" s="726"/>
    </row>
    <row r="280" spans="1:59" s="14" customFormat="1" ht="13" x14ac:dyDescent="0.3">
      <c r="A280" s="738" t="s">
        <v>1439</v>
      </c>
      <c r="B280" s="739" t="s">
        <v>30</v>
      </c>
      <c r="C280" s="740" t="s">
        <v>37</v>
      </c>
      <c r="E280" s="733"/>
      <c r="F280" s="733"/>
      <c r="G280" s="733"/>
      <c r="H280" s="733"/>
      <c r="I280" s="743"/>
      <c r="K280" s="733"/>
      <c r="L280" s="733"/>
      <c r="M280" s="733"/>
      <c r="N280" s="733"/>
      <c r="O280" s="733"/>
      <c r="P280" s="733"/>
      <c r="Q280" s="733"/>
      <c r="R280" s="733"/>
      <c r="S280" s="733"/>
      <c r="T280" s="733"/>
      <c r="U280" s="733"/>
      <c r="V280" s="733"/>
      <c r="W280" s="733"/>
      <c r="X280" s="733"/>
      <c r="Y280" s="733"/>
      <c r="Z280" s="733"/>
      <c r="AA280" s="733"/>
      <c r="AB280" s="733"/>
      <c r="AC280" s="733"/>
      <c r="AD280" s="733"/>
      <c r="AE280" s="733"/>
      <c r="AF280" s="733"/>
      <c r="AG280" s="733"/>
      <c r="AH280" s="733"/>
      <c r="AI280" s="733"/>
      <c r="AJ280" s="733"/>
      <c r="AK280" s="733"/>
      <c r="AL280" s="733"/>
      <c r="AM280" s="733"/>
      <c r="AN280" s="733"/>
      <c r="AO280" s="733"/>
      <c r="AP280" s="733"/>
      <c r="AQ280" s="733"/>
      <c r="AR280" s="733"/>
      <c r="AS280" s="733"/>
      <c r="AT280" s="733"/>
      <c r="AU280" s="733"/>
      <c r="AV280" s="733"/>
      <c r="AW280" s="733"/>
      <c r="AX280" s="733"/>
      <c r="AY280" s="733"/>
      <c r="AZ280" s="733"/>
      <c r="BA280" s="733"/>
      <c r="BB280" s="733"/>
      <c r="BC280" s="733"/>
      <c r="BD280" s="733"/>
      <c r="BE280" s="733"/>
      <c r="BF280" s="733"/>
      <c r="BG280" s="733"/>
    </row>
    <row r="281" spans="1:59" x14ac:dyDescent="0.25">
      <c r="A281" s="727" t="s">
        <v>333</v>
      </c>
      <c r="B281" s="728">
        <v>160</v>
      </c>
      <c r="C281" s="725">
        <f t="shared" si="5"/>
        <v>9.9884736921831365</v>
      </c>
      <c r="D281" s="92"/>
      <c r="E281" s="726"/>
      <c r="F281" s="726"/>
      <c r="G281" s="726"/>
      <c r="H281" s="726"/>
      <c r="I281" s="745"/>
      <c r="K281" s="726"/>
      <c r="L281" s="726"/>
      <c r="M281" s="726"/>
      <c r="N281" s="726"/>
      <c r="O281" s="726"/>
      <c r="P281" s="726"/>
      <c r="Q281" s="726"/>
      <c r="R281" s="726"/>
      <c r="S281" s="726"/>
      <c r="T281" s="726"/>
      <c r="U281" s="726"/>
      <c r="V281" s="726"/>
      <c r="W281" s="726"/>
      <c r="X281" s="726"/>
      <c r="Y281" s="726"/>
      <c r="Z281" s="726"/>
      <c r="AA281" s="726"/>
      <c r="AB281" s="726"/>
      <c r="AC281" s="726"/>
      <c r="AD281" s="726"/>
      <c r="AE281" s="726"/>
      <c r="AF281" s="726"/>
      <c r="AG281" s="726"/>
      <c r="AH281" s="726"/>
      <c r="AI281" s="726"/>
      <c r="AJ281" s="726"/>
      <c r="AK281" s="726"/>
      <c r="AL281" s="726"/>
      <c r="AM281" s="726"/>
      <c r="AN281" s="726"/>
      <c r="AO281" s="726"/>
      <c r="AP281" s="726"/>
      <c r="AQ281" s="726"/>
      <c r="AR281" s="726"/>
      <c r="AS281" s="726"/>
      <c r="AT281" s="726"/>
      <c r="AU281" s="726"/>
      <c r="AV281" s="726"/>
      <c r="AW281" s="726"/>
      <c r="AX281" s="726"/>
      <c r="AY281" s="726"/>
      <c r="AZ281" s="726"/>
      <c r="BA281" s="726"/>
      <c r="BB281" s="726"/>
      <c r="BC281" s="726"/>
      <c r="BD281" s="726"/>
      <c r="BE281" s="726"/>
      <c r="BF281" s="726"/>
      <c r="BG281" s="726"/>
    </row>
    <row r="282" spans="1:59" x14ac:dyDescent="0.25">
      <c r="A282" s="729" t="s">
        <v>334</v>
      </c>
      <c r="B282" s="730">
        <v>368</v>
      </c>
      <c r="C282" s="725">
        <f t="shared" si="5"/>
        <v>22.973489492021216</v>
      </c>
      <c r="D282" s="92"/>
      <c r="E282" s="726"/>
      <c r="F282" s="726"/>
      <c r="G282" s="726"/>
      <c r="H282" s="726"/>
      <c r="I282" s="745"/>
      <c r="K282" s="726"/>
      <c r="L282" s="726"/>
      <c r="M282" s="726"/>
      <c r="N282" s="726"/>
      <c r="O282" s="726"/>
      <c r="P282" s="726"/>
      <c r="Q282" s="726"/>
      <c r="R282" s="726"/>
      <c r="S282" s="726"/>
      <c r="T282" s="726"/>
      <c r="U282" s="726"/>
      <c r="V282" s="726"/>
      <c r="W282" s="726"/>
      <c r="X282" s="726"/>
      <c r="Y282" s="726"/>
      <c r="Z282" s="726"/>
      <c r="AA282" s="726"/>
      <c r="AB282" s="726"/>
      <c r="AC282" s="726"/>
      <c r="AD282" s="726"/>
      <c r="AE282" s="726"/>
      <c r="AF282" s="726"/>
      <c r="AG282" s="726"/>
      <c r="AH282" s="726"/>
      <c r="AI282" s="726"/>
      <c r="AJ282" s="726"/>
      <c r="AK282" s="726"/>
      <c r="AL282" s="726"/>
      <c r="AM282" s="726"/>
      <c r="AN282" s="726"/>
      <c r="AO282" s="726"/>
      <c r="AP282" s="726"/>
      <c r="AQ282" s="726"/>
      <c r="AR282" s="726"/>
      <c r="AS282" s="726"/>
      <c r="AT282" s="726"/>
      <c r="AU282" s="726"/>
      <c r="AV282" s="726"/>
      <c r="AW282" s="726"/>
      <c r="AX282" s="726"/>
      <c r="AY282" s="726"/>
      <c r="AZ282" s="726"/>
      <c r="BA282" s="726"/>
      <c r="BB282" s="726"/>
      <c r="BC282" s="726"/>
      <c r="BD282" s="726"/>
      <c r="BE282" s="726"/>
      <c r="BF282" s="726"/>
      <c r="BG282" s="726"/>
    </row>
    <row r="283" spans="1:59" x14ac:dyDescent="0.25">
      <c r="A283" s="727" t="s">
        <v>335</v>
      </c>
      <c r="B283" s="728">
        <v>801</v>
      </c>
      <c r="C283" s="725">
        <f t="shared" si="5"/>
        <v>50.004796421491825</v>
      </c>
      <c r="D283" s="92"/>
      <c r="E283" s="726"/>
      <c r="F283" s="726"/>
      <c r="G283" s="726"/>
      <c r="H283" s="726"/>
      <c r="I283" s="745"/>
      <c r="K283" s="726"/>
      <c r="L283" s="726"/>
      <c r="M283" s="726"/>
      <c r="N283" s="726"/>
      <c r="O283" s="726"/>
      <c r="P283" s="726"/>
      <c r="Q283" s="726"/>
      <c r="R283" s="726"/>
      <c r="S283" s="726"/>
      <c r="T283" s="726"/>
      <c r="U283" s="726"/>
      <c r="V283" s="726"/>
      <c r="W283" s="726"/>
      <c r="X283" s="726"/>
      <c r="Y283" s="726"/>
      <c r="Z283" s="726"/>
      <c r="AA283" s="726"/>
      <c r="AB283" s="726"/>
      <c r="AC283" s="726"/>
      <c r="AD283" s="726"/>
      <c r="AE283" s="726"/>
      <c r="AF283" s="726"/>
      <c r="AG283" s="726"/>
      <c r="AH283" s="726"/>
      <c r="AI283" s="726"/>
      <c r="AJ283" s="726"/>
      <c r="AK283" s="726"/>
      <c r="AL283" s="726"/>
      <c r="AM283" s="726"/>
      <c r="AN283" s="726"/>
      <c r="AO283" s="726"/>
      <c r="AP283" s="726"/>
      <c r="AQ283" s="726"/>
      <c r="AR283" s="726"/>
      <c r="AS283" s="726"/>
      <c r="AT283" s="726"/>
      <c r="AU283" s="726"/>
      <c r="AV283" s="726"/>
      <c r="AW283" s="726"/>
      <c r="AX283" s="726"/>
      <c r="AY283" s="726"/>
      <c r="AZ283" s="726"/>
      <c r="BA283" s="726"/>
      <c r="BB283" s="726"/>
      <c r="BC283" s="726"/>
      <c r="BD283" s="726"/>
      <c r="BE283" s="726"/>
      <c r="BF283" s="726"/>
      <c r="BG283" s="726"/>
    </row>
    <row r="284" spans="1:59" x14ac:dyDescent="0.25">
      <c r="A284" s="729" t="s">
        <v>336</v>
      </c>
      <c r="B284" s="730">
        <v>2400</v>
      </c>
      <c r="C284" s="725">
        <f t="shared" si="5"/>
        <v>149.82710538274705</v>
      </c>
      <c r="D284" s="92"/>
      <c r="E284" s="726"/>
      <c r="F284" s="726"/>
      <c r="G284" s="726"/>
      <c r="H284" s="726"/>
      <c r="I284" s="745"/>
      <c r="K284" s="726"/>
      <c r="L284" s="726"/>
      <c r="M284" s="726"/>
      <c r="N284" s="726"/>
      <c r="O284" s="726"/>
      <c r="P284" s="726"/>
      <c r="Q284" s="726"/>
      <c r="R284" s="726"/>
      <c r="S284" s="726"/>
      <c r="T284" s="726"/>
      <c r="U284" s="726"/>
      <c r="V284" s="726"/>
      <c r="W284" s="726"/>
      <c r="X284" s="726"/>
      <c r="Y284" s="726"/>
      <c r="Z284" s="726"/>
      <c r="AA284" s="726"/>
      <c r="AB284" s="726"/>
      <c r="AC284" s="726"/>
      <c r="AD284" s="726"/>
      <c r="AE284" s="726"/>
      <c r="AF284" s="726"/>
      <c r="AG284" s="726"/>
      <c r="AH284" s="726"/>
      <c r="AI284" s="726"/>
      <c r="AJ284" s="726"/>
      <c r="AK284" s="726"/>
      <c r="AL284" s="726"/>
      <c r="AM284" s="726"/>
      <c r="AN284" s="726"/>
      <c r="AO284" s="726"/>
      <c r="AP284" s="726"/>
      <c r="AQ284" s="726"/>
      <c r="AR284" s="726"/>
      <c r="AS284" s="726"/>
      <c r="AT284" s="726"/>
      <c r="AU284" s="726"/>
      <c r="AV284" s="726"/>
      <c r="AW284" s="726"/>
      <c r="AX284" s="726"/>
      <c r="AY284" s="726"/>
      <c r="AZ284" s="726"/>
      <c r="BA284" s="726"/>
      <c r="BB284" s="726"/>
      <c r="BC284" s="726"/>
      <c r="BD284" s="726"/>
      <c r="BE284" s="726"/>
      <c r="BF284" s="726"/>
      <c r="BG284" s="726"/>
    </row>
    <row r="285" spans="1:59" x14ac:dyDescent="0.25">
      <c r="A285" s="719" t="s">
        <v>337</v>
      </c>
      <c r="B285" s="732">
        <v>1080</v>
      </c>
      <c r="C285" s="725">
        <f t="shared" si="5"/>
        <v>67.422197422236167</v>
      </c>
      <c r="D285" s="92"/>
      <c r="E285" s="726"/>
      <c r="F285" s="726"/>
      <c r="G285" s="726"/>
      <c r="H285" s="726"/>
      <c r="I285" s="745"/>
      <c r="K285" s="726"/>
      <c r="L285" s="726"/>
      <c r="M285" s="726"/>
      <c r="N285" s="726"/>
      <c r="O285" s="726"/>
      <c r="P285" s="726"/>
      <c r="Q285" s="726"/>
      <c r="R285" s="726"/>
      <c r="S285" s="726"/>
      <c r="T285" s="726"/>
      <c r="U285" s="726"/>
      <c r="V285" s="726"/>
      <c r="W285" s="726"/>
      <c r="X285" s="726"/>
      <c r="Y285" s="726"/>
      <c r="Z285" s="726"/>
      <c r="AA285" s="726"/>
      <c r="AB285" s="726"/>
      <c r="AC285" s="726"/>
      <c r="AD285" s="726"/>
      <c r="AE285" s="726"/>
      <c r="AF285" s="726"/>
      <c r="AG285" s="726"/>
      <c r="AH285" s="726"/>
      <c r="AI285" s="726"/>
      <c r="AJ285" s="726"/>
      <c r="AK285" s="726"/>
      <c r="AL285" s="726"/>
      <c r="AM285" s="726"/>
      <c r="AN285" s="726"/>
      <c r="AO285" s="726"/>
      <c r="AP285" s="726"/>
      <c r="AQ285" s="726"/>
      <c r="AR285" s="726"/>
      <c r="AS285" s="726"/>
      <c r="AT285" s="726"/>
      <c r="AU285" s="726"/>
      <c r="AV285" s="726"/>
      <c r="AW285" s="726"/>
      <c r="AX285" s="726"/>
      <c r="AY285" s="726"/>
      <c r="AZ285" s="726"/>
      <c r="BA285" s="726"/>
      <c r="BB285" s="726"/>
      <c r="BC285" s="726"/>
      <c r="BD285" s="726"/>
      <c r="BE285" s="726"/>
      <c r="BF285" s="726"/>
      <c r="BG285" s="726"/>
    </row>
    <row r="286" spans="1:59" x14ac:dyDescent="0.25">
      <c r="A286" s="719" t="s">
        <v>338</v>
      </c>
      <c r="B286" s="732">
        <v>432</v>
      </c>
      <c r="C286" s="725">
        <f t="shared" si="5"/>
        <v>26.968878968894469</v>
      </c>
      <c r="D286" s="92"/>
      <c r="E286" s="726"/>
      <c r="F286" s="726"/>
      <c r="G286" s="726"/>
      <c r="H286" s="726"/>
      <c r="I286" s="745"/>
      <c r="K286" s="726"/>
      <c r="L286" s="726"/>
      <c r="M286" s="726"/>
      <c r="N286" s="726"/>
      <c r="O286" s="726"/>
      <c r="P286" s="726"/>
      <c r="Q286" s="726"/>
      <c r="R286" s="726"/>
      <c r="S286" s="726"/>
      <c r="T286" s="726"/>
      <c r="U286" s="726"/>
      <c r="V286" s="726"/>
      <c r="W286" s="726"/>
      <c r="X286" s="726"/>
      <c r="Y286" s="726"/>
      <c r="Z286" s="726"/>
      <c r="AA286" s="726"/>
      <c r="AB286" s="726"/>
      <c r="AC286" s="726"/>
      <c r="AD286" s="726"/>
      <c r="AE286" s="726"/>
      <c r="AF286" s="726"/>
      <c r="AG286" s="726"/>
      <c r="AH286" s="726"/>
      <c r="AI286" s="726"/>
      <c r="AJ286" s="726"/>
      <c r="AK286" s="726"/>
      <c r="AL286" s="726"/>
      <c r="AM286" s="726"/>
      <c r="AN286" s="726"/>
      <c r="AO286" s="726"/>
      <c r="AP286" s="726"/>
      <c r="AQ286" s="726"/>
      <c r="AR286" s="726"/>
      <c r="AS286" s="726"/>
      <c r="AT286" s="726"/>
      <c r="AU286" s="726"/>
      <c r="AV286" s="726"/>
      <c r="AW286" s="726"/>
      <c r="AX286" s="726"/>
      <c r="AY286" s="726"/>
      <c r="AZ286" s="726"/>
      <c r="BA286" s="726"/>
      <c r="BB286" s="726"/>
      <c r="BC286" s="726"/>
      <c r="BD286" s="726"/>
      <c r="BE286" s="726"/>
      <c r="BF286" s="726"/>
      <c r="BG286" s="726"/>
    </row>
    <row r="287" spans="1:59" x14ac:dyDescent="0.25">
      <c r="A287" s="727" t="s">
        <v>339</v>
      </c>
      <c r="B287" s="728">
        <v>977</v>
      </c>
      <c r="C287" s="725">
        <f t="shared" si="5"/>
        <v>60.992117482893278</v>
      </c>
      <c r="D287" s="92"/>
      <c r="E287" s="726"/>
      <c r="F287" s="726"/>
      <c r="G287" s="726"/>
      <c r="H287" s="726"/>
      <c r="I287" s="745"/>
      <c r="K287" s="726"/>
      <c r="L287" s="726"/>
      <c r="M287" s="726"/>
      <c r="N287" s="726"/>
      <c r="O287" s="726"/>
      <c r="P287" s="726"/>
      <c r="Q287" s="726"/>
      <c r="R287" s="726"/>
      <c r="S287" s="726"/>
      <c r="T287" s="726"/>
      <c r="U287" s="726"/>
      <c r="V287" s="726"/>
      <c r="W287" s="726"/>
      <c r="X287" s="726"/>
      <c r="Y287" s="726"/>
      <c r="Z287" s="726"/>
      <c r="AA287" s="726"/>
      <c r="AB287" s="726"/>
      <c r="AC287" s="726"/>
      <c r="AD287" s="726"/>
      <c r="AE287" s="726"/>
      <c r="AF287" s="726"/>
      <c r="AG287" s="726"/>
      <c r="AH287" s="726"/>
      <c r="AI287" s="726"/>
      <c r="AJ287" s="726"/>
      <c r="AK287" s="726"/>
      <c r="AL287" s="726"/>
      <c r="AM287" s="726"/>
      <c r="AN287" s="726"/>
      <c r="AO287" s="726"/>
      <c r="AP287" s="726"/>
      <c r="AQ287" s="726"/>
      <c r="AR287" s="726"/>
      <c r="AS287" s="726"/>
      <c r="AT287" s="726"/>
      <c r="AU287" s="726"/>
      <c r="AV287" s="726"/>
      <c r="AW287" s="726"/>
      <c r="AX287" s="726"/>
      <c r="AY287" s="726"/>
      <c r="AZ287" s="726"/>
      <c r="BA287" s="726"/>
      <c r="BB287" s="726"/>
      <c r="BC287" s="726"/>
      <c r="BD287" s="726"/>
      <c r="BE287" s="726"/>
      <c r="BF287" s="726"/>
      <c r="BG287" s="726"/>
    </row>
    <row r="288" spans="1:59" x14ac:dyDescent="0.25">
      <c r="A288" s="729" t="s">
        <v>340</v>
      </c>
      <c r="B288" s="730">
        <v>1153</v>
      </c>
      <c r="C288" s="725">
        <f t="shared" si="5"/>
        <v>71.979438544294723</v>
      </c>
      <c r="D288" s="92"/>
      <c r="E288" s="726"/>
      <c r="F288" s="726"/>
      <c r="G288" s="726"/>
      <c r="H288" s="726"/>
      <c r="I288" s="745"/>
      <c r="K288" s="726"/>
      <c r="L288" s="726"/>
      <c r="M288" s="726"/>
      <c r="N288" s="726"/>
      <c r="O288" s="726"/>
      <c r="P288" s="726"/>
      <c r="Q288" s="726"/>
      <c r="R288" s="726"/>
      <c r="S288" s="726"/>
      <c r="T288" s="726"/>
      <c r="U288" s="726"/>
      <c r="V288" s="726"/>
      <c r="W288" s="726"/>
      <c r="X288" s="726"/>
      <c r="Y288" s="726"/>
      <c r="Z288" s="726"/>
      <c r="AA288" s="726"/>
      <c r="AB288" s="726"/>
      <c r="AC288" s="726"/>
      <c r="AD288" s="726"/>
      <c r="AE288" s="726"/>
      <c r="AF288" s="726"/>
      <c r="AG288" s="726"/>
      <c r="AH288" s="726"/>
      <c r="AI288" s="726"/>
      <c r="AJ288" s="726"/>
      <c r="AK288" s="726"/>
      <c r="AL288" s="726"/>
      <c r="AM288" s="726"/>
      <c r="AN288" s="726"/>
      <c r="AO288" s="726"/>
      <c r="AP288" s="726"/>
      <c r="AQ288" s="726"/>
      <c r="AR288" s="726"/>
      <c r="AS288" s="726"/>
      <c r="AT288" s="726"/>
      <c r="AU288" s="726"/>
      <c r="AV288" s="726"/>
      <c r="AW288" s="726"/>
      <c r="AX288" s="726"/>
      <c r="AY288" s="726"/>
      <c r="AZ288" s="726"/>
      <c r="BA288" s="726"/>
      <c r="BB288" s="726"/>
      <c r="BC288" s="726"/>
      <c r="BD288" s="726"/>
      <c r="BE288" s="726"/>
      <c r="BF288" s="726"/>
      <c r="BG288" s="726"/>
    </row>
    <row r="289" spans="1:59" x14ac:dyDescent="0.25">
      <c r="A289" s="729" t="s">
        <v>341</v>
      </c>
      <c r="B289" s="730">
        <v>1201</v>
      </c>
      <c r="C289" s="725">
        <f t="shared" si="5"/>
        <v>74.975980651949669</v>
      </c>
      <c r="D289" s="92"/>
      <c r="E289" s="726"/>
      <c r="F289" s="726"/>
      <c r="G289" s="726"/>
      <c r="H289" s="726"/>
      <c r="I289" s="745"/>
      <c r="K289" s="726"/>
      <c r="L289" s="726"/>
      <c r="M289" s="726"/>
      <c r="N289" s="726"/>
      <c r="O289" s="726"/>
      <c r="P289" s="726"/>
      <c r="Q289" s="726"/>
      <c r="R289" s="726"/>
      <c r="S289" s="726"/>
      <c r="T289" s="726"/>
      <c r="U289" s="726"/>
      <c r="V289" s="726"/>
      <c r="W289" s="726"/>
      <c r="X289" s="726"/>
      <c r="Y289" s="726"/>
      <c r="Z289" s="726"/>
      <c r="AA289" s="726"/>
      <c r="AB289" s="726"/>
      <c r="AC289" s="726"/>
      <c r="AD289" s="726"/>
      <c r="AE289" s="726"/>
      <c r="AF289" s="726"/>
      <c r="AG289" s="726"/>
      <c r="AH289" s="726"/>
      <c r="AI289" s="726"/>
      <c r="AJ289" s="726"/>
      <c r="AK289" s="726"/>
      <c r="AL289" s="726"/>
      <c r="AM289" s="726"/>
      <c r="AN289" s="726"/>
      <c r="AO289" s="726"/>
      <c r="AP289" s="726"/>
      <c r="AQ289" s="726"/>
      <c r="AR289" s="726"/>
      <c r="AS289" s="726"/>
      <c r="AT289" s="726"/>
      <c r="AU289" s="726"/>
      <c r="AV289" s="726"/>
      <c r="AW289" s="726"/>
      <c r="AX289" s="726"/>
      <c r="AY289" s="726"/>
      <c r="AZ289" s="726"/>
      <c r="BA289" s="726"/>
      <c r="BB289" s="726"/>
      <c r="BC289" s="726"/>
      <c r="BD289" s="726"/>
      <c r="BE289" s="726"/>
      <c r="BF289" s="726"/>
      <c r="BG289" s="726"/>
    </row>
    <row r="290" spans="1:59" x14ac:dyDescent="0.25">
      <c r="A290" s="727" t="s">
        <v>69</v>
      </c>
      <c r="B290" s="728">
        <v>7700</v>
      </c>
      <c r="C290" s="725">
        <f t="shared" si="5"/>
        <v>480.69529643631347</v>
      </c>
      <c r="D290" s="92"/>
      <c r="E290" s="726"/>
      <c r="F290" s="726"/>
      <c r="G290" s="726"/>
      <c r="H290" s="726"/>
      <c r="I290" s="745"/>
      <c r="K290" s="726"/>
      <c r="L290" s="726"/>
      <c r="M290" s="726"/>
      <c r="N290" s="726"/>
      <c r="O290" s="726"/>
      <c r="P290" s="726"/>
      <c r="Q290" s="726"/>
      <c r="R290" s="726"/>
      <c r="S290" s="726"/>
      <c r="T290" s="726"/>
      <c r="U290" s="726"/>
      <c r="V290" s="726"/>
      <c r="W290" s="726"/>
      <c r="X290" s="726"/>
      <c r="Y290" s="726"/>
      <c r="Z290" s="726"/>
      <c r="AA290" s="726"/>
      <c r="AB290" s="726"/>
      <c r="AC290" s="726"/>
      <c r="AD290" s="726"/>
      <c r="AE290" s="726"/>
      <c r="AF290" s="726"/>
      <c r="AG290" s="726"/>
      <c r="AH290" s="726"/>
      <c r="AI290" s="726"/>
      <c r="AJ290" s="726"/>
      <c r="AK290" s="726"/>
      <c r="AL290" s="726"/>
      <c r="AM290" s="726"/>
      <c r="AN290" s="726"/>
      <c r="AO290" s="726"/>
      <c r="AP290" s="726"/>
      <c r="AQ290" s="726"/>
      <c r="AR290" s="726"/>
      <c r="AS290" s="726"/>
      <c r="AT290" s="726"/>
      <c r="AU290" s="726"/>
      <c r="AV290" s="726"/>
      <c r="AW290" s="726"/>
      <c r="AX290" s="726"/>
      <c r="AY290" s="726"/>
      <c r="AZ290" s="726"/>
      <c r="BA290" s="726"/>
      <c r="BB290" s="726"/>
      <c r="BC290" s="726"/>
      <c r="BD290" s="726"/>
      <c r="BE290" s="726"/>
      <c r="BF290" s="726"/>
      <c r="BG290" s="726"/>
    </row>
    <row r="291" spans="1:59" x14ac:dyDescent="0.25">
      <c r="A291" s="727" t="s">
        <v>80</v>
      </c>
      <c r="B291" s="728">
        <v>1500</v>
      </c>
      <c r="C291" s="725">
        <f t="shared" si="5"/>
        <v>93.641940864216906</v>
      </c>
      <c r="D291" s="92"/>
      <c r="E291" s="726"/>
      <c r="F291" s="726"/>
      <c r="G291" s="726"/>
      <c r="H291" s="726"/>
      <c r="I291" s="745"/>
      <c r="K291" s="726"/>
      <c r="L291" s="726"/>
      <c r="M291" s="726"/>
      <c r="N291" s="726"/>
      <c r="O291" s="726"/>
      <c r="P291" s="726"/>
      <c r="Q291" s="726"/>
      <c r="R291" s="726"/>
      <c r="S291" s="726"/>
      <c r="T291" s="726"/>
      <c r="U291" s="726"/>
      <c r="V291" s="726"/>
      <c r="W291" s="726"/>
      <c r="X291" s="726"/>
      <c r="Y291" s="726"/>
      <c r="Z291" s="726"/>
      <c r="AA291" s="726"/>
      <c r="AB291" s="726"/>
      <c r="AC291" s="726"/>
      <c r="AD291" s="726"/>
      <c r="AE291" s="726"/>
      <c r="AF291" s="726"/>
      <c r="AG291" s="726"/>
      <c r="AH291" s="726"/>
      <c r="AI291" s="726"/>
      <c r="AJ291" s="726"/>
      <c r="AK291" s="726"/>
      <c r="AL291" s="726"/>
      <c r="AM291" s="726"/>
      <c r="AN291" s="726"/>
      <c r="AO291" s="726"/>
      <c r="AP291" s="726"/>
      <c r="AQ291" s="726"/>
      <c r="AR291" s="726"/>
      <c r="AS291" s="726"/>
      <c r="AT291" s="726"/>
      <c r="AU291" s="726"/>
      <c r="AV291" s="726"/>
      <c r="AW291" s="726"/>
      <c r="AX291" s="726"/>
      <c r="AY291" s="726"/>
      <c r="AZ291" s="726"/>
      <c r="BA291" s="726"/>
      <c r="BB291" s="726"/>
      <c r="BC291" s="726"/>
      <c r="BD291" s="726"/>
      <c r="BE291" s="726"/>
      <c r="BF291" s="726"/>
      <c r="BG291" s="726"/>
    </row>
    <row r="292" spans="1:59" x14ac:dyDescent="0.25">
      <c r="A292" s="727" t="s">
        <v>342</v>
      </c>
      <c r="B292" s="728">
        <v>753</v>
      </c>
      <c r="C292" s="725">
        <f t="shared" si="5"/>
        <v>47.008254313836886</v>
      </c>
      <c r="D292" s="92"/>
      <c r="E292" s="726"/>
      <c r="F292" s="726"/>
      <c r="G292" s="726"/>
      <c r="H292" s="726"/>
      <c r="I292" s="745"/>
      <c r="K292" s="726"/>
      <c r="L292" s="726"/>
      <c r="M292" s="726"/>
      <c r="N292" s="726"/>
      <c r="O292" s="726"/>
      <c r="P292" s="726"/>
      <c r="Q292" s="726"/>
      <c r="R292" s="726"/>
      <c r="S292" s="726"/>
      <c r="T292" s="726"/>
      <c r="U292" s="726"/>
      <c r="V292" s="726"/>
      <c r="W292" s="726"/>
      <c r="X292" s="726"/>
      <c r="Y292" s="726"/>
      <c r="Z292" s="726"/>
      <c r="AA292" s="726"/>
      <c r="AB292" s="726"/>
      <c r="AC292" s="726"/>
      <c r="AD292" s="726"/>
      <c r="AE292" s="726"/>
      <c r="AF292" s="726"/>
      <c r="AG292" s="726"/>
      <c r="AH292" s="726"/>
      <c r="AI292" s="726"/>
      <c r="AJ292" s="726"/>
      <c r="AK292" s="726"/>
      <c r="AL292" s="726"/>
      <c r="AM292" s="726"/>
      <c r="AN292" s="726"/>
      <c r="AO292" s="726"/>
      <c r="AP292" s="726"/>
      <c r="AQ292" s="726"/>
      <c r="AR292" s="726"/>
      <c r="AS292" s="726"/>
      <c r="AT292" s="726"/>
      <c r="AU292" s="726"/>
      <c r="AV292" s="726"/>
      <c r="AW292" s="726"/>
      <c r="AX292" s="726"/>
      <c r="AY292" s="726"/>
      <c r="AZ292" s="726"/>
      <c r="BA292" s="726"/>
      <c r="BB292" s="726"/>
      <c r="BC292" s="726"/>
      <c r="BD292" s="726"/>
      <c r="BE292" s="726"/>
      <c r="BF292" s="726"/>
      <c r="BG292" s="726"/>
    </row>
    <row r="293" spans="1:59" x14ac:dyDescent="0.25">
      <c r="A293" s="729" t="s">
        <v>343</v>
      </c>
      <c r="B293" s="730">
        <v>561</v>
      </c>
      <c r="C293" s="725">
        <f t="shared" si="5"/>
        <v>35.022085883217123</v>
      </c>
      <c r="D293" s="92"/>
      <c r="E293" s="726"/>
      <c r="F293" s="726"/>
      <c r="G293" s="726"/>
      <c r="H293" s="726"/>
      <c r="I293" s="745"/>
      <c r="K293" s="726"/>
      <c r="L293" s="726"/>
      <c r="M293" s="726"/>
      <c r="N293" s="726"/>
      <c r="O293" s="726"/>
      <c r="P293" s="726"/>
      <c r="Q293" s="726"/>
      <c r="R293" s="726"/>
      <c r="S293" s="726"/>
      <c r="T293" s="726"/>
      <c r="U293" s="726"/>
      <c r="V293" s="726"/>
      <c r="W293" s="726"/>
      <c r="X293" s="726"/>
      <c r="Y293" s="726"/>
      <c r="Z293" s="726"/>
      <c r="AA293" s="726"/>
      <c r="AB293" s="726"/>
      <c r="AC293" s="726"/>
      <c r="AD293" s="726"/>
      <c r="AE293" s="726"/>
      <c r="AF293" s="726"/>
      <c r="AG293" s="726"/>
      <c r="AH293" s="726"/>
      <c r="AI293" s="726"/>
      <c r="AJ293" s="726"/>
      <c r="AK293" s="726"/>
      <c r="AL293" s="726"/>
      <c r="AM293" s="726"/>
      <c r="AN293" s="726"/>
      <c r="AO293" s="726"/>
      <c r="AP293" s="726"/>
      <c r="AQ293" s="726"/>
      <c r="AR293" s="726"/>
      <c r="AS293" s="726"/>
      <c r="AT293" s="726"/>
      <c r="AU293" s="726"/>
      <c r="AV293" s="726"/>
      <c r="AW293" s="726"/>
      <c r="AX293" s="726"/>
      <c r="AY293" s="726"/>
      <c r="AZ293" s="726"/>
      <c r="BA293" s="726"/>
      <c r="BB293" s="726"/>
      <c r="BC293" s="726"/>
      <c r="BD293" s="726"/>
      <c r="BE293" s="726"/>
      <c r="BF293" s="726"/>
      <c r="BG293" s="726"/>
    </row>
    <row r="294" spans="1:59" x14ac:dyDescent="0.25">
      <c r="A294" s="729" t="s">
        <v>344</v>
      </c>
      <c r="B294" s="730">
        <v>2515</v>
      </c>
      <c r="C294" s="725">
        <f t="shared" si="5"/>
        <v>157.00632084900369</v>
      </c>
      <c r="D294" s="92"/>
      <c r="E294" s="726"/>
      <c r="F294" s="726"/>
      <c r="G294" s="726"/>
      <c r="H294" s="726"/>
      <c r="I294" s="745"/>
      <c r="K294" s="726"/>
      <c r="L294" s="726"/>
      <c r="M294" s="726"/>
      <c r="N294" s="726"/>
      <c r="O294" s="726"/>
      <c r="P294" s="726"/>
      <c r="Q294" s="726"/>
      <c r="R294" s="726"/>
      <c r="S294" s="726"/>
      <c r="T294" s="726"/>
      <c r="U294" s="726"/>
      <c r="V294" s="726"/>
      <c r="W294" s="726"/>
      <c r="X294" s="726"/>
      <c r="Y294" s="726"/>
      <c r="Z294" s="726"/>
      <c r="AA294" s="726"/>
      <c r="AB294" s="726"/>
      <c r="AC294" s="726"/>
      <c r="AD294" s="726"/>
      <c r="AE294" s="726"/>
      <c r="AF294" s="726"/>
      <c r="AG294" s="726"/>
      <c r="AH294" s="726"/>
      <c r="AI294" s="726"/>
      <c r="AJ294" s="726"/>
      <c r="AK294" s="726"/>
      <c r="AL294" s="726"/>
      <c r="AM294" s="726"/>
      <c r="AN294" s="726"/>
      <c r="AO294" s="726"/>
      <c r="AP294" s="726"/>
      <c r="AQ294" s="726"/>
      <c r="AR294" s="726"/>
      <c r="AS294" s="726"/>
      <c r="AT294" s="726"/>
      <c r="AU294" s="726"/>
      <c r="AV294" s="726"/>
      <c r="AW294" s="726"/>
      <c r="AX294" s="726"/>
      <c r="AY294" s="726"/>
      <c r="AZ294" s="726"/>
      <c r="BA294" s="726"/>
      <c r="BB294" s="726"/>
      <c r="BC294" s="726"/>
      <c r="BD294" s="726"/>
      <c r="BE294" s="726"/>
      <c r="BF294" s="726"/>
      <c r="BG294" s="726"/>
    </row>
    <row r="295" spans="1:59" x14ac:dyDescent="0.25">
      <c r="A295" s="727" t="s">
        <v>345</v>
      </c>
      <c r="B295" s="728">
        <v>1602</v>
      </c>
      <c r="C295" s="725">
        <f t="shared" si="5"/>
        <v>100.00959284298365</v>
      </c>
      <c r="D295" s="92"/>
      <c r="E295" s="726"/>
      <c r="F295" s="726"/>
      <c r="G295" s="726"/>
      <c r="H295" s="726"/>
      <c r="I295" s="745"/>
      <c r="K295" s="726"/>
      <c r="L295" s="726"/>
      <c r="M295" s="726"/>
      <c r="N295" s="726"/>
      <c r="O295" s="726"/>
      <c r="P295" s="726"/>
      <c r="Q295" s="726"/>
      <c r="R295" s="726"/>
      <c r="S295" s="726"/>
      <c r="T295" s="726"/>
      <c r="U295" s="726"/>
      <c r="V295" s="726"/>
      <c r="W295" s="726"/>
      <c r="X295" s="726"/>
      <c r="Y295" s="726"/>
      <c r="Z295" s="726"/>
      <c r="AA295" s="726"/>
      <c r="AB295" s="726"/>
      <c r="AC295" s="726"/>
      <c r="AD295" s="726"/>
      <c r="AE295" s="726"/>
      <c r="AF295" s="726"/>
      <c r="AG295" s="726"/>
      <c r="AH295" s="726"/>
      <c r="AI295" s="726"/>
      <c r="AJ295" s="726"/>
      <c r="AK295" s="726"/>
      <c r="AL295" s="726"/>
      <c r="AM295" s="726"/>
      <c r="AN295" s="726"/>
      <c r="AO295" s="726"/>
      <c r="AP295" s="726"/>
      <c r="AQ295" s="726"/>
      <c r="AR295" s="726"/>
      <c r="AS295" s="726"/>
      <c r="AT295" s="726"/>
      <c r="AU295" s="726"/>
      <c r="AV295" s="726"/>
      <c r="AW295" s="726"/>
      <c r="AX295" s="726"/>
      <c r="AY295" s="726"/>
      <c r="AZ295" s="726"/>
      <c r="BA295" s="726"/>
      <c r="BB295" s="726"/>
      <c r="BC295" s="726"/>
      <c r="BD295" s="726"/>
      <c r="BE295" s="726"/>
      <c r="BF295" s="726"/>
      <c r="BG295" s="726"/>
    </row>
    <row r="296" spans="1:59" x14ac:dyDescent="0.25">
      <c r="A296" s="729" t="s">
        <v>346</v>
      </c>
      <c r="B296" s="730">
        <v>721</v>
      </c>
      <c r="C296" s="725">
        <f t="shared" si="5"/>
        <v>45.010559575400265</v>
      </c>
      <c r="D296" s="92"/>
      <c r="E296" s="726"/>
      <c r="F296" s="726"/>
      <c r="G296" s="726"/>
      <c r="H296" s="726"/>
      <c r="I296" s="745"/>
      <c r="K296" s="726"/>
      <c r="L296" s="726"/>
      <c r="M296" s="726"/>
      <c r="N296" s="726"/>
      <c r="O296" s="726"/>
      <c r="P296" s="726"/>
      <c r="Q296" s="726"/>
      <c r="R296" s="726"/>
      <c r="S296" s="726"/>
      <c r="T296" s="726"/>
      <c r="U296" s="726"/>
      <c r="V296" s="726"/>
      <c r="W296" s="726"/>
      <c r="X296" s="726"/>
      <c r="Y296" s="726"/>
      <c r="Z296" s="726"/>
      <c r="AA296" s="726"/>
      <c r="AB296" s="726"/>
      <c r="AC296" s="726"/>
      <c r="AD296" s="726"/>
      <c r="AE296" s="726"/>
      <c r="AF296" s="726"/>
      <c r="AG296" s="726"/>
      <c r="AH296" s="726"/>
      <c r="AI296" s="726"/>
      <c r="AJ296" s="726"/>
      <c r="AK296" s="726"/>
      <c r="AL296" s="726"/>
      <c r="AM296" s="726"/>
      <c r="AN296" s="726"/>
      <c r="AO296" s="726"/>
      <c r="AP296" s="726"/>
      <c r="AQ296" s="726"/>
      <c r="AR296" s="726"/>
      <c r="AS296" s="726"/>
      <c r="AT296" s="726"/>
      <c r="AU296" s="726"/>
      <c r="AV296" s="726"/>
      <c r="AW296" s="726"/>
      <c r="AX296" s="726"/>
      <c r="AY296" s="726"/>
      <c r="AZ296" s="726"/>
      <c r="BA296" s="726"/>
      <c r="BB296" s="726"/>
      <c r="BC296" s="726"/>
      <c r="BD296" s="726"/>
      <c r="BE296" s="726"/>
      <c r="BF296" s="726"/>
      <c r="BG296" s="726"/>
    </row>
    <row r="297" spans="1:59" x14ac:dyDescent="0.25">
      <c r="A297" s="727" t="s">
        <v>347</v>
      </c>
      <c r="B297" s="728">
        <v>849</v>
      </c>
      <c r="C297" s="725">
        <f t="shared" si="5"/>
        <v>53.001338529146764</v>
      </c>
      <c r="D297" s="92"/>
      <c r="E297" s="726"/>
      <c r="F297" s="726"/>
      <c r="G297" s="726"/>
      <c r="H297" s="726"/>
      <c r="I297" s="745"/>
      <c r="K297" s="726"/>
      <c r="L297" s="726"/>
      <c r="M297" s="726"/>
      <c r="N297" s="726"/>
      <c r="O297" s="726"/>
      <c r="P297" s="726"/>
      <c r="Q297" s="726"/>
      <c r="R297" s="726"/>
      <c r="S297" s="726"/>
      <c r="T297" s="726"/>
      <c r="U297" s="726"/>
      <c r="V297" s="726"/>
      <c r="W297" s="726"/>
      <c r="X297" s="726"/>
      <c r="Y297" s="726"/>
      <c r="Z297" s="726"/>
      <c r="AA297" s="726"/>
      <c r="AB297" s="726"/>
      <c r="AC297" s="726"/>
      <c r="AD297" s="726"/>
      <c r="AE297" s="726"/>
      <c r="AF297" s="726"/>
      <c r="AG297" s="726"/>
      <c r="AH297" s="726"/>
      <c r="AI297" s="726"/>
      <c r="AJ297" s="726"/>
      <c r="AK297" s="726"/>
      <c r="AL297" s="726"/>
      <c r="AM297" s="726"/>
      <c r="AN297" s="726"/>
      <c r="AO297" s="726"/>
      <c r="AP297" s="726"/>
      <c r="AQ297" s="726"/>
      <c r="AR297" s="726"/>
      <c r="AS297" s="726"/>
      <c r="AT297" s="726"/>
      <c r="AU297" s="726"/>
      <c r="AV297" s="726"/>
      <c r="AW297" s="726"/>
      <c r="AX297" s="726"/>
      <c r="AY297" s="726"/>
      <c r="AZ297" s="726"/>
      <c r="BA297" s="726"/>
      <c r="BB297" s="726"/>
      <c r="BC297" s="726"/>
      <c r="BD297" s="726"/>
      <c r="BE297" s="726"/>
      <c r="BF297" s="726"/>
      <c r="BG297" s="726"/>
    </row>
    <row r="298" spans="1:59" x14ac:dyDescent="0.25">
      <c r="A298" s="727" t="s">
        <v>348</v>
      </c>
      <c r="B298" s="728">
        <v>801</v>
      </c>
      <c r="C298" s="725">
        <f t="shared" si="5"/>
        <v>50.004796421491825</v>
      </c>
      <c r="D298" s="92"/>
      <c r="E298" s="726"/>
      <c r="F298" s="726"/>
      <c r="G298" s="726"/>
      <c r="H298" s="726"/>
      <c r="I298" s="745"/>
      <c r="K298" s="726"/>
      <c r="L298" s="726"/>
      <c r="M298" s="726"/>
      <c r="N298" s="726"/>
      <c r="O298" s="726"/>
      <c r="P298" s="726"/>
      <c r="Q298" s="726"/>
      <c r="R298" s="726"/>
      <c r="S298" s="726"/>
      <c r="T298" s="726"/>
      <c r="U298" s="726"/>
      <c r="V298" s="726"/>
      <c r="W298" s="726"/>
      <c r="X298" s="726"/>
      <c r="Y298" s="726"/>
      <c r="Z298" s="726"/>
      <c r="AA298" s="726"/>
      <c r="AB298" s="726"/>
      <c r="AC298" s="726"/>
      <c r="AD298" s="726"/>
      <c r="AE298" s="726"/>
      <c r="AF298" s="726"/>
      <c r="AG298" s="726"/>
      <c r="AH298" s="726"/>
      <c r="AI298" s="726"/>
      <c r="AJ298" s="726"/>
      <c r="AK298" s="726"/>
      <c r="AL298" s="726"/>
      <c r="AM298" s="726"/>
      <c r="AN298" s="726"/>
      <c r="AO298" s="726"/>
      <c r="AP298" s="726"/>
      <c r="AQ298" s="726"/>
      <c r="AR298" s="726"/>
      <c r="AS298" s="726"/>
      <c r="AT298" s="726"/>
      <c r="AU298" s="726"/>
      <c r="AV298" s="726"/>
      <c r="AW298" s="726"/>
      <c r="AX298" s="726"/>
      <c r="AY298" s="726"/>
      <c r="AZ298" s="726"/>
      <c r="BA298" s="726"/>
      <c r="BB298" s="726"/>
      <c r="BC298" s="726"/>
      <c r="BD298" s="726"/>
      <c r="BE298" s="726"/>
      <c r="BF298" s="726"/>
      <c r="BG298" s="726"/>
    </row>
    <row r="299" spans="1:59" x14ac:dyDescent="0.25">
      <c r="A299" s="729" t="s">
        <v>349</v>
      </c>
      <c r="B299" s="730">
        <v>961</v>
      </c>
      <c r="C299" s="725">
        <f t="shared" si="5"/>
        <v>59.993270113674967</v>
      </c>
      <c r="D299" s="92"/>
      <c r="E299" s="726"/>
      <c r="F299" s="726"/>
      <c r="G299" s="726"/>
      <c r="H299" s="726"/>
      <c r="I299" s="745"/>
      <c r="K299" s="726"/>
      <c r="L299" s="726"/>
      <c r="M299" s="726"/>
      <c r="N299" s="726"/>
      <c r="O299" s="726"/>
      <c r="P299" s="726"/>
      <c r="Q299" s="726"/>
      <c r="R299" s="726"/>
      <c r="S299" s="726"/>
      <c r="T299" s="726"/>
      <c r="U299" s="726"/>
      <c r="V299" s="726"/>
      <c r="W299" s="726"/>
      <c r="X299" s="726"/>
      <c r="Y299" s="726"/>
      <c r="Z299" s="726"/>
      <c r="AA299" s="726"/>
      <c r="AB299" s="726"/>
      <c r="AC299" s="726"/>
      <c r="AD299" s="726"/>
      <c r="AE299" s="726"/>
      <c r="AF299" s="726"/>
      <c r="AG299" s="726"/>
      <c r="AH299" s="726"/>
      <c r="AI299" s="726"/>
      <c r="AJ299" s="726"/>
      <c r="AK299" s="726"/>
      <c r="AL299" s="726"/>
      <c r="AM299" s="726"/>
      <c r="AN299" s="726"/>
      <c r="AO299" s="726"/>
      <c r="AP299" s="726"/>
      <c r="AQ299" s="726"/>
      <c r="AR299" s="726"/>
      <c r="AS299" s="726"/>
      <c r="AT299" s="726"/>
      <c r="AU299" s="726"/>
      <c r="AV299" s="726"/>
      <c r="AW299" s="726"/>
      <c r="AX299" s="726"/>
      <c r="AY299" s="726"/>
      <c r="AZ299" s="726"/>
      <c r="BA299" s="726"/>
      <c r="BB299" s="726"/>
      <c r="BC299" s="726"/>
      <c r="BD299" s="726"/>
      <c r="BE299" s="726"/>
      <c r="BF299" s="726"/>
      <c r="BG299" s="726"/>
    </row>
    <row r="300" spans="1:59" x14ac:dyDescent="0.25">
      <c r="A300" s="729" t="s">
        <v>350</v>
      </c>
      <c r="B300" s="730">
        <v>208</v>
      </c>
      <c r="C300" s="725">
        <f t="shared" si="5"/>
        <v>12.985015799838077</v>
      </c>
      <c r="D300" s="92"/>
      <c r="E300" s="726"/>
      <c r="F300" s="726"/>
      <c r="G300" s="726"/>
      <c r="H300" s="726"/>
      <c r="I300" s="745"/>
      <c r="K300" s="726"/>
      <c r="L300" s="726"/>
      <c r="M300" s="726"/>
      <c r="N300" s="726"/>
      <c r="O300" s="726"/>
      <c r="P300" s="726"/>
      <c r="Q300" s="726"/>
      <c r="R300" s="726"/>
      <c r="S300" s="726"/>
      <c r="T300" s="726"/>
      <c r="U300" s="726"/>
      <c r="V300" s="726"/>
      <c r="W300" s="726"/>
      <c r="X300" s="726"/>
      <c r="Y300" s="726"/>
      <c r="Z300" s="726"/>
      <c r="AA300" s="726"/>
      <c r="AB300" s="726"/>
      <c r="AC300" s="726"/>
      <c r="AD300" s="726"/>
      <c r="AE300" s="726"/>
      <c r="AF300" s="726"/>
      <c r="AG300" s="726"/>
      <c r="AH300" s="726"/>
      <c r="AI300" s="726"/>
      <c r="AJ300" s="726"/>
      <c r="AK300" s="726"/>
      <c r="AL300" s="726"/>
      <c r="AM300" s="726"/>
      <c r="AN300" s="726"/>
      <c r="AO300" s="726"/>
      <c r="AP300" s="726"/>
      <c r="AQ300" s="726"/>
      <c r="AR300" s="726"/>
      <c r="AS300" s="726"/>
      <c r="AT300" s="726"/>
      <c r="AU300" s="726"/>
      <c r="AV300" s="726"/>
      <c r="AW300" s="726"/>
      <c r="AX300" s="726"/>
      <c r="AY300" s="726"/>
      <c r="AZ300" s="726"/>
      <c r="BA300" s="726"/>
      <c r="BB300" s="726"/>
      <c r="BC300" s="726"/>
      <c r="BD300" s="726"/>
      <c r="BE300" s="726"/>
      <c r="BF300" s="726"/>
      <c r="BG300" s="726"/>
    </row>
    <row r="301" spans="1:59" x14ac:dyDescent="0.25">
      <c r="A301" s="727" t="s">
        <v>351</v>
      </c>
      <c r="B301" s="728">
        <v>561</v>
      </c>
      <c r="C301" s="725">
        <f t="shared" si="5"/>
        <v>35.022085883217123</v>
      </c>
      <c r="D301" s="92"/>
      <c r="E301" s="726"/>
      <c r="F301" s="726"/>
      <c r="G301" s="726"/>
      <c r="H301" s="726"/>
      <c r="I301" s="745"/>
      <c r="K301" s="726"/>
      <c r="L301" s="726"/>
      <c r="M301" s="726"/>
      <c r="N301" s="726"/>
      <c r="O301" s="726"/>
      <c r="P301" s="726"/>
      <c r="Q301" s="726"/>
      <c r="R301" s="726"/>
      <c r="S301" s="726"/>
      <c r="T301" s="726"/>
      <c r="U301" s="726"/>
      <c r="V301" s="726"/>
      <c r="W301" s="726"/>
      <c r="X301" s="726"/>
      <c r="Y301" s="726"/>
      <c r="Z301" s="726"/>
      <c r="AA301" s="726"/>
      <c r="AB301" s="726"/>
      <c r="AC301" s="726"/>
      <c r="AD301" s="726"/>
      <c r="AE301" s="726"/>
      <c r="AF301" s="726"/>
      <c r="AG301" s="726"/>
      <c r="AH301" s="726"/>
      <c r="AI301" s="726"/>
      <c r="AJ301" s="726"/>
      <c r="AK301" s="726"/>
      <c r="AL301" s="726"/>
      <c r="AM301" s="726"/>
      <c r="AN301" s="726"/>
      <c r="AO301" s="726"/>
      <c r="AP301" s="726"/>
      <c r="AQ301" s="726"/>
      <c r="AR301" s="726"/>
      <c r="AS301" s="726"/>
      <c r="AT301" s="726"/>
      <c r="AU301" s="726"/>
      <c r="AV301" s="726"/>
      <c r="AW301" s="726"/>
      <c r="AX301" s="726"/>
      <c r="AY301" s="726"/>
      <c r="AZ301" s="726"/>
      <c r="BA301" s="726"/>
      <c r="BB301" s="726"/>
      <c r="BC301" s="726"/>
      <c r="BD301" s="726"/>
      <c r="BE301" s="726"/>
      <c r="BF301" s="726"/>
      <c r="BG301" s="726"/>
    </row>
    <row r="302" spans="1:59" x14ac:dyDescent="0.25">
      <c r="A302" s="729" t="s">
        <v>352</v>
      </c>
      <c r="B302" s="730">
        <v>272</v>
      </c>
      <c r="C302" s="725">
        <f t="shared" si="5"/>
        <v>16.980405276711334</v>
      </c>
      <c r="D302" s="92"/>
      <c r="E302" s="726"/>
      <c r="F302" s="726"/>
      <c r="G302" s="726"/>
      <c r="H302" s="726"/>
      <c r="I302" s="745"/>
      <c r="K302" s="726"/>
      <c r="L302" s="726"/>
      <c r="M302" s="726"/>
      <c r="N302" s="726"/>
      <c r="O302" s="726"/>
      <c r="P302" s="726"/>
      <c r="Q302" s="726"/>
      <c r="R302" s="726"/>
      <c r="S302" s="726"/>
      <c r="T302" s="726"/>
      <c r="U302" s="726"/>
      <c r="V302" s="726"/>
      <c r="W302" s="726"/>
      <c r="X302" s="726"/>
      <c r="Y302" s="726"/>
      <c r="Z302" s="726"/>
      <c r="AA302" s="726"/>
      <c r="AB302" s="726"/>
      <c r="AC302" s="726"/>
      <c r="AD302" s="726"/>
      <c r="AE302" s="726"/>
      <c r="AF302" s="726"/>
      <c r="AG302" s="726"/>
      <c r="AH302" s="726"/>
      <c r="AI302" s="726"/>
      <c r="AJ302" s="726"/>
      <c r="AK302" s="726"/>
      <c r="AL302" s="726"/>
      <c r="AM302" s="726"/>
      <c r="AN302" s="726"/>
      <c r="AO302" s="726"/>
      <c r="AP302" s="726"/>
      <c r="AQ302" s="726"/>
      <c r="AR302" s="726"/>
      <c r="AS302" s="726"/>
      <c r="AT302" s="726"/>
      <c r="AU302" s="726"/>
      <c r="AV302" s="726"/>
      <c r="AW302" s="726"/>
      <c r="AX302" s="726"/>
      <c r="AY302" s="726"/>
      <c r="AZ302" s="726"/>
      <c r="BA302" s="726"/>
      <c r="BB302" s="726"/>
      <c r="BC302" s="726"/>
      <c r="BD302" s="726"/>
      <c r="BE302" s="726"/>
      <c r="BF302" s="726"/>
      <c r="BG302" s="726"/>
    </row>
    <row r="303" spans="1:59" x14ac:dyDescent="0.25">
      <c r="A303" s="729" t="s">
        <v>353</v>
      </c>
      <c r="B303" s="730">
        <v>1314</v>
      </c>
      <c r="C303" s="725">
        <f t="shared" si="5"/>
        <v>82.030340197054016</v>
      </c>
      <c r="D303" s="92"/>
      <c r="E303" s="726"/>
      <c r="F303" s="726"/>
      <c r="G303" s="726"/>
      <c r="H303" s="726"/>
      <c r="I303" s="745"/>
      <c r="K303" s="726"/>
      <c r="L303" s="726"/>
      <c r="M303" s="726"/>
      <c r="N303" s="726"/>
      <c r="O303" s="726"/>
      <c r="P303" s="726"/>
      <c r="Q303" s="726"/>
      <c r="R303" s="726"/>
      <c r="S303" s="726"/>
      <c r="T303" s="726"/>
      <c r="U303" s="726"/>
      <c r="V303" s="726"/>
      <c r="W303" s="726"/>
      <c r="X303" s="726"/>
      <c r="Y303" s="726"/>
      <c r="Z303" s="726"/>
      <c r="AA303" s="726"/>
      <c r="AB303" s="726"/>
      <c r="AC303" s="726"/>
      <c r="AD303" s="726"/>
      <c r="AE303" s="726"/>
      <c r="AF303" s="726"/>
      <c r="AG303" s="726"/>
      <c r="AH303" s="726"/>
      <c r="AI303" s="726"/>
      <c r="AJ303" s="726"/>
      <c r="AK303" s="726"/>
      <c r="AL303" s="726"/>
      <c r="AM303" s="726"/>
      <c r="AN303" s="726"/>
      <c r="AO303" s="726"/>
      <c r="AP303" s="726"/>
      <c r="AQ303" s="726"/>
      <c r="AR303" s="726"/>
      <c r="AS303" s="726"/>
      <c r="AT303" s="726"/>
      <c r="AU303" s="726"/>
      <c r="AV303" s="726"/>
      <c r="AW303" s="726"/>
      <c r="AX303" s="726"/>
      <c r="AY303" s="726"/>
      <c r="AZ303" s="726"/>
      <c r="BA303" s="726"/>
      <c r="BB303" s="726"/>
      <c r="BC303" s="726"/>
      <c r="BD303" s="726"/>
      <c r="BE303" s="726"/>
      <c r="BF303" s="726"/>
      <c r="BG303" s="726"/>
    </row>
    <row r="304" spans="1:59" x14ac:dyDescent="0.25">
      <c r="A304" s="727" t="s">
        <v>354</v>
      </c>
      <c r="B304" s="728">
        <v>961</v>
      </c>
      <c r="C304" s="725">
        <f t="shared" si="5"/>
        <v>59.993270113674967</v>
      </c>
      <c r="D304" s="92"/>
      <c r="E304" s="726"/>
      <c r="F304" s="726"/>
      <c r="G304" s="726"/>
      <c r="H304" s="726"/>
      <c r="I304" s="745"/>
      <c r="K304" s="726"/>
      <c r="L304" s="726"/>
      <c r="M304" s="726"/>
      <c r="N304" s="726"/>
      <c r="O304" s="726"/>
      <c r="P304" s="726"/>
      <c r="Q304" s="726"/>
      <c r="R304" s="726"/>
      <c r="S304" s="726"/>
      <c r="T304" s="726"/>
      <c r="U304" s="726"/>
      <c r="V304" s="726"/>
      <c r="W304" s="726"/>
      <c r="X304" s="726"/>
      <c r="Y304" s="726"/>
      <c r="Z304" s="726"/>
      <c r="AA304" s="726"/>
      <c r="AB304" s="726"/>
      <c r="AC304" s="726"/>
      <c r="AD304" s="726"/>
      <c r="AE304" s="726"/>
      <c r="AF304" s="726"/>
      <c r="AG304" s="726"/>
      <c r="AH304" s="726"/>
      <c r="AI304" s="726"/>
      <c r="AJ304" s="726"/>
      <c r="AK304" s="726"/>
      <c r="AL304" s="726"/>
      <c r="AM304" s="726"/>
      <c r="AN304" s="726"/>
      <c r="AO304" s="726"/>
      <c r="AP304" s="726"/>
      <c r="AQ304" s="726"/>
      <c r="AR304" s="726"/>
      <c r="AS304" s="726"/>
      <c r="AT304" s="726"/>
      <c r="AU304" s="726"/>
      <c r="AV304" s="726"/>
      <c r="AW304" s="726"/>
      <c r="AX304" s="726"/>
      <c r="AY304" s="726"/>
      <c r="AZ304" s="726"/>
      <c r="BA304" s="726"/>
      <c r="BB304" s="726"/>
      <c r="BC304" s="726"/>
      <c r="BD304" s="726"/>
      <c r="BE304" s="726"/>
      <c r="BF304" s="726"/>
      <c r="BG304" s="726"/>
    </row>
    <row r="305" spans="1:59" x14ac:dyDescent="0.25">
      <c r="A305" s="729" t="s">
        <v>355</v>
      </c>
      <c r="B305" s="730">
        <v>2002</v>
      </c>
      <c r="C305" s="725">
        <f t="shared" si="5"/>
        <v>124.98077707344149</v>
      </c>
      <c r="D305" s="92"/>
      <c r="E305" s="726"/>
      <c r="F305" s="726"/>
      <c r="G305" s="726"/>
      <c r="H305" s="726"/>
      <c r="I305" s="745"/>
      <c r="K305" s="726"/>
      <c r="L305" s="726"/>
      <c r="M305" s="726"/>
      <c r="N305" s="726"/>
      <c r="O305" s="726"/>
      <c r="P305" s="726"/>
      <c r="Q305" s="726"/>
      <c r="R305" s="726"/>
      <c r="S305" s="726"/>
      <c r="T305" s="726"/>
      <c r="U305" s="726"/>
      <c r="V305" s="726"/>
      <c r="W305" s="726"/>
      <c r="X305" s="726"/>
      <c r="Y305" s="726"/>
      <c r="Z305" s="726"/>
      <c r="AA305" s="726"/>
      <c r="AB305" s="726"/>
      <c r="AC305" s="726"/>
      <c r="AD305" s="726"/>
      <c r="AE305" s="726"/>
      <c r="AF305" s="726"/>
      <c r="AG305" s="726"/>
      <c r="AH305" s="726"/>
      <c r="AI305" s="726"/>
      <c r="AJ305" s="726"/>
      <c r="AK305" s="726"/>
      <c r="AL305" s="726"/>
      <c r="AM305" s="726"/>
      <c r="AN305" s="726"/>
      <c r="AO305" s="726"/>
      <c r="AP305" s="726"/>
      <c r="AQ305" s="726"/>
      <c r="AR305" s="726"/>
      <c r="AS305" s="726"/>
      <c r="AT305" s="726"/>
      <c r="AU305" s="726"/>
      <c r="AV305" s="726"/>
      <c r="AW305" s="726"/>
      <c r="AX305" s="726"/>
      <c r="AY305" s="726"/>
      <c r="AZ305" s="726"/>
      <c r="BA305" s="726"/>
      <c r="BB305" s="726"/>
      <c r="BC305" s="726"/>
      <c r="BD305" s="726"/>
      <c r="BE305" s="726"/>
      <c r="BF305" s="726"/>
      <c r="BG305" s="726"/>
    </row>
    <row r="306" spans="1:59" x14ac:dyDescent="0.25">
      <c r="A306" s="727" t="s">
        <v>356</v>
      </c>
      <c r="B306" s="728">
        <v>2803</v>
      </c>
      <c r="C306" s="725">
        <f t="shared" si="5"/>
        <v>174.98557349493333</v>
      </c>
      <c r="D306" s="92"/>
      <c r="E306" s="726"/>
      <c r="F306" s="726"/>
      <c r="G306" s="726"/>
      <c r="H306" s="726"/>
      <c r="I306" s="745"/>
      <c r="K306" s="726"/>
      <c r="L306" s="726"/>
      <c r="M306" s="726"/>
      <c r="N306" s="726"/>
      <c r="O306" s="726"/>
      <c r="P306" s="726"/>
      <c r="Q306" s="726"/>
      <c r="R306" s="726"/>
      <c r="S306" s="726"/>
      <c r="T306" s="726"/>
      <c r="U306" s="726"/>
      <c r="V306" s="726"/>
      <c r="W306" s="726"/>
      <c r="X306" s="726"/>
      <c r="Y306" s="726"/>
      <c r="Z306" s="726"/>
      <c r="AA306" s="726"/>
      <c r="AB306" s="726"/>
      <c r="AC306" s="726"/>
      <c r="AD306" s="726"/>
      <c r="AE306" s="726"/>
      <c r="AF306" s="726"/>
      <c r="AG306" s="726"/>
      <c r="AH306" s="726"/>
      <c r="AI306" s="726"/>
      <c r="AJ306" s="726"/>
      <c r="AK306" s="726"/>
      <c r="AL306" s="726"/>
      <c r="AM306" s="726"/>
      <c r="AN306" s="726"/>
      <c r="AO306" s="726"/>
      <c r="AP306" s="726"/>
      <c r="AQ306" s="726"/>
      <c r="AR306" s="726"/>
      <c r="AS306" s="726"/>
      <c r="AT306" s="726"/>
      <c r="AU306" s="726"/>
      <c r="AV306" s="726"/>
      <c r="AW306" s="726"/>
      <c r="AX306" s="726"/>
      <c r="AY306" s="726"/>
      <c r="AZ306" s="726"/>
      <c r="BA306" s="726"/>
      <c r="BB306" s="726"/>
      <c r="BC306" s="726"/>
      <c r="BD306" s="726"/>
      <c r="BE306" s="726"/>
      <c r="BF306" s="726"/>
      <c r="BG306" s="726"/>
    </row>
    <row r="307" spans="1:59" x14ac:dyDescent="0.25">
      <c r="A307" s="727" t="s">
        <v>357</v>
      </c>
      <c r="B307" s="728">
        <v>1746</v>
      </c>
      <c r="C307" s="725">
        <f t="shared" si="5"/>
        <v>108.99921916594849</v>
      </c>
      <c r="D307" s="92"/>
      <c r="E307" s="726"/>
      <c r="F307" s="726"/>
      <c r="G307" s="726"/>
      <c r="H307" s="726"/>
      <c r="I307" s="745"/>
      <c r="K307" s="726"/>
      <c r="L307" s="726"/>
      <c r="M307" s="726"/>
      <c r="N307" s="726"/>
      <c r="O307" s="726"/>
      <c r="P307" s="726"/>
      <c r="Q307" s="726"/>
      <c r="R307" s="726"/>
      <c r="S307" s="726"/>
      <c r="T307" s="726"/>
      <c r="U307" s="726"/>
      <c r="V307" s="726"/>
      <c r="W307" s="726"/>
      <c r="X307" s="726"/>
      <c r="Y307" s="726"/>
      <c r="Z307" s="726"/>
      <c r="AA307" s="726"/>
      <c r="AB307" s="726"/>
      <c r="AC307" s="726"/>
      <c r="AD307" s="726"/>
      <c r="AE307" s="726"/>
      <c r="AF307" s="726"/>
      <c r="AG307" s="726"/>
      <c r="AH307" s="726"/>
      <c r="AI307" s="726"/>
      <c r="AJ307" s="726"/>
      <c r="AK307" s="726"/>
      <c r="AL307" s="726"/>
      <c r="AM307" s="726"/>
      <c r="AN307" s="726"/>
      <c r="AO307" s="726"/>
      <c r="AP307" s="726"/>
      <c r="AQ307" s="726"/>
      <c r="AR307" s="726"/>
      <c r="AS307" s="726"/>
      <c r="AT307" s="726"/>
      <c r="AU307" s="726"/>
      <c r="AV307" s="726"/>
      <c r="AW307" s="726"/>
      <c r="AX307" s="726"/>
      <c r="AY307" s="726"/>
      <c r="AZ307" s="726"/>
      <c r="BA307" s="726"/>
      <c r="BB307" s="726"/>
      <c r="BC307" s="726"/>
      <c r="BD307" s="726"/>
      <c r="BE307" s="726"/>
      <c r="BF307" s="726"/>
      <c r="BG307" s="726"/>
    </row>
    <row r="308" spans="1:59" x14ac:dyDescent="0.25">
      <c r="A308" s="729" t="s">
        <v>358</v>
      </c>
      <c r="B308" s="730">
        <v>2691</v>
      </c>
      <c r="C308" s="725">
        <f t="shared" si="5"/>
        <v>167.99364191040513</v>
      </c>
      <c r="D308" s="92"/>
      <c r="E308" s="726"/>
      <c r="F308" s="726"/>
      <c r="G308" s="726"/>
      <c r="H308" s="726"/>
      <c r="I308" s="745"/>
      <c r="K308" s="726"/>
      <c r="L308" s="726"/>
      <c r="M308" s="726"/>
      <c r="N308" s="726"/>
      <c r="O308" s="726"/>
      <c r="P308" s="726"/>
      <c r="Q308" s="726"/>
      <c r="R308" s="726"/>
      <c r="S308" s="726"/>
      <c r="T308" s="726"/>
      <c r="U308" s="726"/>
      <c r="V308" s="726"/>
      <c r="W308" s="726"/>
      <c r="X308" s="726"/>
      <c r="Y308" s="726"/>
      <c r="Z308" s="726"/>
      <c r="AA308" s="726"/>
      <c r="AB308" s="726"/>
      <c r="AC308" s="726"/>
      <c r="AD308" s="726"/>
      <c r="AE308" s="726"/>
      <c r="AF308" s="726"/>
      <c r="AG308" s="726"/>
      <c r="AH308" s="726"/>
      <c r="AI308" s="726"/>
      <c r="AJ308" s="726"/>
      <c r="AK308" s="726"/>
      <c r="AL308" s="726"/>
      <c r="AM308" s="726"/>
      <c r="AN308" s="726"/>
      <c r="AO308" s="726"/>
      <c r="AP308" s="726"/>
      <c r="AQ308" s="726"/>
      <c r="AR308" s="726"/>
      <c r="AS308" s="726"/>
      <c r="AT308" s="726"/>
      <c r="AU308" s="726"/>
      <c r="AV308" s="726"/>
      <c r="AW308" s="726"/>
      <c r="AX308" s="726"/>
      <c r="AY308" s="726"/>
      <c r="AZ308" s="726"/>
      <c r="BA308" s="726"/>
      <c r="BB308" s="726"/>
      <c r="BC308" s="726"/>
      <c r="BD308" s="726"/>
      <c r="BE308" s="726"/>
      <c r="BF308" s="726"/>
      <c r="BG308" s="726"/>
    </row>
    <row r="309" spans="1:59" x14ac:dyDescent="0.25">
      <c r="A309" s="729" t="s">
        <v>359</v>
      </c>
      <c r="B309" s="730">
        <v>881</v>
      </c>
      <c r="C309" s="725">
        <f t="shared" si="5"/>
        <v>54.999033267583393</v>
      </c>
      <c r="D309" s="92"/>
      <c r="E309" s="726"/>
      <c r="F309" s="726"/>
      <c r="G309" s="726"/>
      <c r="H309" s="726"/>
      <c r="I309" s="745"/>
      <c r="K309" s="726"/>
      <c r="L309" s="726"/>
      <c r="M309" s="726"/>
      <c r="N309" s="726"/>
      <c r="O309" s="726"/>
      <c r="P309" s="726"/>
      <c r="Q309" s="726"/>
      <c r="R309" s="726"/>
      <c r="S309" s="726"/>
      <c r="T309" s="726"/>
      <c r="U309" s="726"/>
      <c r="V309" s="726"/>
      <c r="W309" s="726"/>
      <c r="X309" s="726"/>
      <c r="Y309" s="726"/>
      <c r="Z309" s="726"/>
      <c r="AA309" s="726"/>
      <c r="AB309" s="726"/>
      <c r="AC309" s="726"/>
      <c r="AD309" s="726"/>
      <c r="AE309" s="726"/>
      <c r="AF309" s="726"/>
      <c r="AG309" s="726"/>
      <c r="AH309" s="726"/>
      <c r="AI309" s="726"/>
      <c r="AJ309" s="726"/>
      <c r="AK309" s="726"/>
      <c r="AL309" s="726"/>
      <c r="AM309" s="726"/>
      <c r="AN309" s="726"/>
      <c r="AO309" s="726"/>
      <c r="AP309" s="726"/>
      <c r="AQ309" s="726"/>
      <c r="AR309" s="726"/>
      <c r="AS309" s="726"/>
      <c r="AT309" s="726"/>
      <c r="AU309" s="726"/>
      <c r="AV309" s="726"/>
      <c r="AW309" s="726"/>
      <c r="AX309" s="726"/>
      <c r="AY309" s="726"/>
      <c r="AZ309" s="726"/>
      <c r="BA309" s="726"/>
      <c r="BB309" s="726"/>
      <c r="BC309" s="726"/>
      <c r="BD309" s="726"/>
      <c r="BE309" s="726"/>
      <c r="BF309" s="726"/>
      <c r="BG309" s="726"/>
    </row>
    <row r="310" spans="1:59" x14ac:dyDescent="0.25">
      <c r="A310" s="727" t="s">
        <v>360</v>
      </c>
      <c r="B310" s="728">
        <v>961</v>
      </c>
      <c r="C310" s="725">
        <f t="shared" si="5"/>
        <v>59.993270113674967</v>
      </c>
      <c r="D310" s="92"/>
      <c r="E310" s="726"/>
      <c r="F310" s="726"/>
      <c r="G310" s="726"/>
      <c r="H310" s="726"/>
      <c r="I310" s="745"/>
      <c r="K310" s="726"/>
      <c r="L310" s="726"/>
      <c r="M310" s="726"/>
      <c r="N310" s="726"/>
      <c r="O310" s="726"/>
      <c r="P310" s="726"/>
      <c r="Q310" s="726"/>
      <c r="R310" s="726"/>
      <c r="S310" s="726"/>
      <c r="T310" s="726"/>
      <c r="U310" s="726"/>
      <c r="V310" s="726"/>
      <c r="W310" s="726"/>
      <c r="X310" s="726"/>
      <c r="Y310" s="726"/>
      <c r="Z310" s="726"/>
      <c r="AA310" s="726"/>
      <c r="AB310" s="726"/>
      <c r="AC310" s="726"/>
      <c r="AD310" s="726"/>
      <c r="AE310" s="726"/>
      <c r="AF310" s="726"/>
      <c r="AG310" s="726"/>
      <c r="AH310" s="726"/>
      <c r="AI310" s="726"/>
      <c r="AJ310" s="726"/>
      <c r="AK310" s="726"/>
      <c r="AL310" s="726"/>
      <c r="AM310" s="726"/>
      <c r="AN310" s="726"/>
      <c r="AO310" s="726"/>
      <c r="AP310" s="726"/>
      <c r="AQ310" s="726"/>
      <c r="AR310" s="726"/>
      <c r="AS310" s="726"/>
      <c r="AT310" s="726"/>
      <c r="AU310" s="726"/>
      <c r="AV310" s="726"/>
      <c r="AW310" s="726"/>
      <c r="AX310" s="726"/>
      <c r="AY310" s="726"/>
      <c r="AZ310" s="726"/>
      <c r="BA310" s="726"/>
      <c r="BB310" s="726"/>
      <c r="BC310" s="726"/>
      <c r="BD310" s="726"/>
      <c r="BE310" s="726"/>
      <c r="BF310" s="726"/>
      <c r="BG310" s="726"/>
    </row>
    <row r="311" spans="1:59" x14ac:dyDescent="0.25">
      <c r="A311" s="729" t="s">
        <v>361</v>
      </c>
      <c r="B311" s="730">
        <v>1153</v>
      </c>
      <c r="C311" s="725">
        <f t="shared" si="5"/>
        <v>71.979438544294723</v>
      </c>
      <c r="D311" s="92"/>
      <c r="E311" s="726"/>
      <c r="F311" s="726"/>
      <c r="G311" s="726"/>
      <c r="H311" s="726"/>
      <c r="I311" s="745"/>
      <c r="K311" s="726"/>
      <c r="L311" s="726"/>
      <c r="M311" s="726"/>
      <c r="N311" s="726"/>
      <c r="O311" s="726"/>
      <c r="P311" s="726"/>
      <c r="Q311" s="726"/>
      <c r="R311" s="726"/>
      <c r="S311" s="726"/>
      <c r="T311" s="726"/>
      <c r="U311" s="726"/>
      <c r="V311" s="726"/>
      <c r="W311" s="726"/>
      <c r="X311" s="726"/>
      <c r="Y311" s="726"/>
      <c r="Z311" s="726"/>
      <c r="AA311" s="726"/>
      <c r="AB311" s="726"/>
      <c r="AC311" s="726"/>
      <c r="AD311" s="726"/>
      <c r="AE311" s="726"/>
      <c r="AF311" s="726"/>
      <c r="AG311" s="726"/>
      <c r="AH311" s="726"/>
      <c r="AI311" s="726"/>
      <c r="AJ311" s="726"/>
      <c r="AK311" s="726"/>
      <c r="AL311" s="726"/>
      <c r="AM311" s="726"/>
      <c r="AN311" s="726"/>
      <c r="AO311" s="726"/>
      <c r="AP311" s="726"/>
      <c r="AQ311" s="726"/>
      <c r="AR311" s="726"/>
      <c r="AS311" s="726"/>
      <c r="AT311" s="726"/>
      <c r="AU311" s="726"/>
      <c r="AV311" s="726"/>
      <c r="AW311" s="726"/>
      <c r="AX311" s="726"/>
      <c r="AY311" s="726"/>
      <c r="AZ311" s="726"/>
      <c r="BA311" s="726"/>
      <c r="BB311" s="726"/>
      <c r="BC311" s="726"/>
      <c r="BD311" s="726"/>
      <c r="BE311" s="726"/>
      <c r="BF311" s="726"/>
      <c r="BG311" s="726"/>
    </row>
    <row r="312" spans="1:59" x14ac:dyDescent="0.25">
      <c r="A312" s="727" t="s">
        <v>362</v>
      </c>
      <c r="B312" s="728">
        <v>320</v>
      </c>
      <c r="C312" s="725">
        <f t="shared" si="5"/>
        <v>19.976947384366273</v>
      </c>
      <c r="D312" s="92"/>
      <c r="E312" s="726"/>
      <c r="F312" s="726"/>
      <c r="G312" s="726"/>
      <c r="H312" s="726"/>
      <c r="I312" s="745"/>
      <c r="K312" s="726"/>
      <c r="L312" s="726"/>
      <c r="M312" s="726"/>
      <c r="N312" s="726"/>
      <c r="O312" s="726"/>
      <c r="P312" s="726"/>
      <c r="Q312" s="726"/>
      <c r="R312" s="726"/>
      <c r="S312" s="726"/>
      <c r="T312" s="726"/>
      <c r="U312" s="726"/>
      <c r="V312" s="726"/>
      <c r="W312" s="726"/>
      <c r="X312" s="726"/>
      <c r="Y312" s="726"/>
      <c r="Z312" s="726"/>
      <c r="AA312" s="726"/>
      <c r="AB312" s="726"/>
      <c r="AC312" s="726"/>
      <c r="AD312" s="726"/>
      <c r="AE312" s="726"/>
      <c r="AF312" s="726"/>
      <c r="AG312" s="726"/>
      <c r="AH312" s="726"/>
      <c r="AI312" s="726"/>
      <c r="AJ312" s="726"/>
      <c r="AK312" s="726"/>
      <c r="AL312" s="726"/>
      <c r="AM312" s="726"/>
      <c r="AN312" s="726"/>
      <c r="AO312" s="726"/>
      <c r="AP312" s="726"/>
      <c r="AQ312" s="726"/>
      <c r="AR312" s="726"/>
      <c r="AS312" s="726"/>
      <c r="AT312" s="726"/>
      <c r="AU312" s="726"/>
      <c r="AV312" s="726"/>
      <c r="AW312" s="726"/>
      <c r="AX312" s="726"/>
      <c r="AY312" s="726"/>
      <c r="AZ312" s="726"/>
      <c r="BA312" s="726"/>
      <c r="BB312" s="726"/>
      <c r="BC312" s="726"/>
      <c r="BD312" s="726"/>
      <c r="BE312" s="726"/>
      <c r="BF312" s="726"/>
      <c r="BG312" s="726"/>
    </row>
    <row r="313" spans="1:59" x14ac:dyDescent="0.25">
      <c r="A313" s="28" t="s">
        <v>363</v>
      </c>
      <c r="B313" s="730">
        <v>1746</v>
      </c>
      <c r="C313" s="725">
        <f t="shared" si="5"/>
        <v>108.99921916594849</v>
      </c>
      <c r="D313" s="92"/>
      <c r="E313" s="726"/>
      <c r="F313" s="726"/>
      <c r="G313" s="726"/>
      <c r="H313" s="726"/>
      <c r="I313" s="745"/>
      <c r="K313" s="726"/>
      <c r="L313" s="726"/>
      <c r="M313" s="726"/>
      <c r="N313" s="726"/>
      <c r="O313" s="726"/>
      <c r="P313" s="726"/>
      <c r="Q313" s="726"/>
      <c r="R313" s="726"/>
      <c r="S313" s="726"/>
      <c r="T313" s="726"/>
      <c r="U313" s="726"/>
      <c r="V313" s="726"/>
      <c r="W313" s="726"/>
      <c r="X313" s="726"/>
      <c r="Y313" s="726"/>
      <c r="Z313" s="726"/>
      <c r="AA313" s="726"/>
      <c r="AB313" s="726"/>
      <c r="AC313" s="726"/>
      <c r="AD313" s="726"/>
      <c r="AE313" s="726"/>
      <c r="AF313" s="726"/>
      <c r="AG313" s="726"/>
      <c r="AH313" s="726"/>
      <c r="AI313" s="726"/>
      <c r="AJ313" s="726"/>
      <c r="AK313" s="726"/>
      <c r="AL313" s="726"/>
      <c r="AM313" s="726"/>
      <c r="AN313" s="726"/>
      <c r="AO313" s="726"/>
      <c r="AP313" s="726"/>
      <c r="AQ313" s="726"/>
      <c r="AR313" s="726"/>
      <c r="AS313" s="726"/>
      <c r="AT313" s="726"/>
      <c r="AU313" s="726"/>
      <c r="AV313" s="726"/>
      <c r="AW313" s="726"/>
      <c r="AX313" s="726"/>
      <c r="AY313" s="726"/>
      <c r="AZ313" s="726"/>
      <c r="BA313" s="726"/>
      <c r="BB313" s="726"/>
      <c r="BC313" s="726"/>
      <c r="BD313" s="726"/>
      <c r="BE313" s="726"/>
      <c r="BF313" s="726"/>
      <c r="BG313" s="726"/>
    </row>
    <row r="314" spans="1:59" x14ac:dyDescent="0.25">
      <c r="A314" s="727" t="s">
        <v>364</v>
      </c>
      <c r="B314" s="728">
        <v>2883</v>
      </c>
      <c r="C314" s="725">
        <f t="shared" si="5"/>
        <v>179.97981034102489</v>
      </c>
      <c r="D314" s="92"/>
      <c r="E314" s="726"/>
      <c r="F314" s="726"/>
      <c r="G314" s="726"/>
      <c r="H314" s="726"/>
      <c r="I314" s="745"/>
      <c r="K314" s="726"/>
      <c r="L314" s="726"/>
      <c r="M314" s="726"/>
      <c r="N314" s="726"/>
      <c r="O314" s="726"/>
      <c r="P314" s="726"/>
      <c r="Q314" s="726"/>
      <c r="R314" s="726"/>
      <c r="S314" s="726"/>
      <c r="T314" s="726"/>
      <c r="U314" s="726"/>
      <c r="V314" s="726"/>
      <c r="W314" s="726"/>
      <c r="X314" s="726"/>
      <c r="Y314" s="726"/>
      <c r="Z314" s="726"/>
      <c r="AA314" s="726"/>
      <c r="AB314" s="726"/>
      <c r="AC314" s="726"/>
      <c r="AD314" s="726"/>
      <c r="AE314" s="726"/>
      <c r="AF314" s="726"/>
      <c r="AG314" s="726"/>
      <c r="AH314" s="726"/>
      <c r="AI314" s="726"/>
      <c r="AJ314" s="726"/>
      <c r="AK314" s="726"/>
      <c r="AL314" s="726"/>
      <c r="AM314" s="726"/>
      <c r="AN314" s="726"/>
      <c r="AO314" s="726"/>
      <c r="AP314" s="726"/>
      <c r="AQ314" s="726"/>
      <c r="AR314" s="726"/>
      <c r="AS314" s="726"/>
      <c r="AT314" s="726"/>
      <c r="AU314" s="726"/>
      <c r="AV314" s="726"/>
      <c r="AW314" s="726"/>
      <c r="AX314" s="726"/>
      <c r="AY314" s="726"/>
      <c r="AZ314" s="726"/>
      <c r="BA314" s="726"/>
      <c r="BB314" s="726"/>
      <c r="BC314" s="726"/>
      <c r="BD314" s="726"/>
      <c r="BE314" s="726"/>
      <c r="BF314" s="726"/>
      <c r="BG314" s="726"/>
    </row>
    <row r="315" spans="1:59" x14ac:dyDescent="0.25">
      <c r="A315" s="729" t="s">
        <v>365</v>
      </c>
      <c r="B315" s="730">
        <v>400</v>
      </c>
      <c r="C315" s="725">
        <f t="shared" si="5"/>
        <v>24.97118423045784</v>
      </c>
      <c r="D315" s="92"/>
      <c r="E315" s="726"/>
      <c r="F315" s="726"/>
      <c r="G315" s="726"/>
      <c r="H315" s="726"/>
      <c r="I315" s="745"/>
      <c r="K315" s="726"/>
      <c r="L315" s="726"/>
      <c r="M315" s="726"/>
      <c r="N315" s="726"/>
      <c r="O315" s="726"/>
      <c r="P315" s="726"/>
      <c r="Q315" s="726"/>
      <c r="R315" s="726"/>
      <c r="S315" s="726"/>
      <c r="T315" s="726"/>
      <c r="U315" s="726"/>
      <c r="V315" s="726"/>
      <c r="W315" s="726"/>
      <c r="X315" s="726"/>
      <c r="Y315" s="726"/>
      <c r="Z315" s="726"/>
      <c r="AA315" s="726"/>
      <c r="AB315" s="726"/>
      <c r="AC315" s="726"/>
      <c r="AD315" s="726"/>
      <c r="AE315" s="726"/>
      <c r="AF315" s="726"/>
      <c r="AG315" s="726"/>
      <c r="AH315" s="726"/>
      <c r="AI315" s="726"/>
      <c r="AJ315" s="726"/>
      <c r="AK315" s="726"/>
      <c r="AL315" s="726"/>
      <c r="AM315" s="726"/>
      <c r="AN315" s="726"/>
      <c r="AO315" s="726"/>
      <c r="AP315" s="726"/>
      <c r="AQ315" s="726"/>
      <c r="AR315" s="726"/>
      <c r="AS315" s="726"/>
      <c r="AT315" s="726"/>
      <c r="AU315" s="726"/>
      <c r="AV315" s="726"/>
      <c r="AW315" s="726"/>
      <c r="AX315" s="726"/>
      <c r="AY315" s="726"/>
      <c r="AZ315" s="726"/>
      <c r="BA315" s="726"/>
      <c r="BB315" s="726"/>
      <c r="BC315" s="726"/>
      <c r="BD315" s="726"/>
      <c r="BE315" s="726"/>
      <c r="BF315" s="726"/>
      <c r="BG315" s="726"/>
    </row>
    <row r="316" spans="1:59" x14ac:dyDescent="0.25">
      <c r="A316" s="28" t="s">
        <v>366</v>
      </c>
      <c r="B316" s="728">
        <v>865</v>
      </c>
      <c r="C316" s="725">
        <f t="shared" si="5"/>
        <v>54.000185898365082</v>
      </c>
      <c r="D316" s="92"/>
      <c r="E316" s="726"/>
      <c r="F316" s="726"/>
      <c r="G316" s="726"/>
      <c r="H316" s="726"/>
      <c r="I316" s="745"/>
      <c r="K316" s="726"/>
      <c r="L316" s="726"/>
      <c r="M316" s="726"/>
      <c r="N316" s="726"/>
      <c r="O316" s="726"/>
      <c r="P316" s="726"/>
      <c r="Q316" s="726"/>
      <c r="R316" s="726"/>
      <c r="S316" s="726"/>
      <c r="T316" s="726"/>
      <c r="U316" s="726"/>
      <c r="V316" s="726"/>
      <c r="W316" s="726"/>
      <c r="X316" s="726"/>
      <c r="Y316" s="726"/>
      <c r="Z316" s="726"/>
      <c r="AA316" s="726"/>
      <c r="AB316" s="726"/>
      <c r="AC316" s="726"/>
      <c r="AD316" s="726"/>
      <c r="AE316" s="726"/>
      <c r="AF316" s="726"/>
      <c r="AG316" s="726"/>
      <c r="AH316" s="726"/>
      <c r="AI316" s="726"/>
      <c r="AJ316" s="726"/>
      <c r="AK316" s="726"/>
      <c r="AL316" s="726"/>
      <c r="AM316" s="726"/>
      <c r="AN316" s="726"/>
      <c r="AO316" s="726"/>
      <c r="AP316" s="726"/>
      <c r="AQ316" s="726"/>
      <c r="AR316" s="726"/>
      <c r="AS316" s="726"/>
      <c r="AT316" s="726"/>
      <c r="AU316" s="726"/>
      <c r="AV316" s="726"/>
      <c r="AW316" s="726"/>
      <c r="AX316" s="726"/>
      <c r="AY316" s="726"/>
      <c r="AZ316" s="726"/>
      <c r="BA316" s="726"/>
      <c r="BB316" s="726"/>
      <c r="BC316" s="726"/>
      <c r="BD316" s="726"/>
      <c r="BE316" s="726"/>
      <c r="BF316" s="726"/>
      <c r="BG316" s="726"/>
    </row>
    <row r="317" spans="1:59" x14ac:dyDescent="0.25">
      <c r="A317" s="729" t="s">
        <v>367</v>
      </c>
      <c r="B317" s="730">
        <v>609</v>
      </c>
      <c r="C317" s="725">
        <f t="shared" si="5"/>
        <v>38.018627990872062</v>
      </c>
      <c r="D317" s="92"/>
      <c r="E317" s="726"/>
      <c r="F317" s="726"/>
      <c r="G317" s="726"/>
      <c r="H317" s="726"/>
      <c r="I317" s="745"/>
      <c r="K317" s="726"/>
      <c r="L317" s="726"/>
      <c r="M317" s="726"/>
      <c r="N317" s="726"/>
      <c r="O317" s="726"/>
      <c r="P317" s="726"/>
      <c r="Q317" s="726"/>
      <c r="R317" s="726"/>
      <c r="S317" s="726"/>
      <c r="T317" s="726"/>
      <c r="U317" s="726"/>
      <c r="V317" s="726"/>
      <c r="W317" s="726"/>
      <c r="X317" s="726"/>
      <c r="Y317" s="726"/>
      <c r="Z317" s="726"/>
      <c r="AA317" s="726"/>
      <c r="AB317" s="726"/>
      <c r="AC317" s="726"/>
      <c r="AD317" s="726"/>
      <c r="AE317" s="726"/>
      <c r="AF317" s="726"/>
      <c r="AG317" s="726"/>
      <c r="AH317" s="726"/>
      <c r="AI317" s="726"/>
      <c r="AJ317" s="726"/>
      <c r="AK317" s="726"/>
      <c r="AL317" s="726"/>
      <c r="AM317" s="726"/>
      <c r="AN317" s="726"/>
      <c r="AO317" s="726"/>
      <c r="AP317" s="726"/>
      <c r="AQ317" s="726"/>
      <c r="AR317" s="726"/>
      <c r="AS317" s="726"/>
      <c r="AT317" s="726"/>
      <c r="AU317" s="726"/>
      <c r="AV317" s="726"/>
      <c r="AW317" s="726"/>
      <c r="AX317" s="726"/>
      <c r="AY317" s="726"/>
      <c r="AZ317" s="726"/>
      <c r="BA317" s="726"/>
      <c r="BB317" s="726"/>
      <c r="BC317" s="726"/>
      <c r="BD317" s="726"/>
      <c r="BE317" s="726"/>
      <c r="BF317" s="726"/>
      <c r="BG317" s="726"/>
    </row>
    <row r="318" spans="1:59" x14ac:dyDescent="0.25">
      <c r="A318" s="731" t="s">
        <v>368</v>
      </c>
      <c r="B318" s="732">
        <v>1000</v>
      </c>
      <c r="C318" s="725">
        <f t="shared" si="5"/>
        <v>62.427960576144606</v>
      </c>
      <c r="D318" s="92"/>
      <c r="E318" s="726"/>
      <c r="F318" s="726"/>
      <c r="G318" s="726"/>
      <c r="H318" s="726"/>
      <c r="I318" s="745"/>
      <c r="K318" s="726"/>
      <c r="L318" s="726"/>
      <c r="M318" s="726"/>
      <c r="N318" s="726"/>
      <c r="O318" s="726"/>
      <c r="P318" s="726"/>
      <c r="Q318" s="726"/>
      <c r="R318" s="726"/>
      <c r="S318" s="726"/>
      <c r="T318" s="726"/>
      <c r="U318" s="726"/>
      <c r="V318" s="726"/>
      <c r="W318" s="726"/>
      <c r="X318" s="726"/>
      <c r="Y318" s="726"/>
      <c r="Z318" s="726"/>
      <c r="AA318" s="726"/>
      <c r="AB318" s="726"/>
      <c r="AC318" s="726"/>
      <c r="AD318" s="726"/>
      <c r="AE318" s="726"/>
      <c r="AF318" s="726"/>
      <c r="AG318" s="726"/>
      <c r="AH318" s="726"/>
      <c r="AI318" s="726"/>
      <c r="AJ318" s="726"/>
      <c r="AK318" s="726"/>
      <c r="AL318" s="726"/>
      <c r="AM318" s="726"/>
      <c r="AN318" s="726"/>
      <c r="AO318" s="726"/>
      <c r="AP318" s="726"/>
      <c r="AQ318" s="726"/>
      <c r="AR318" s="726"/>
      <c r="AS318" s="726"/>
      <c r="AT318" s="726"/>
      <c r="AU318" s="726"/>
      <c r="AV318" s="726"/>
      <c r="AW318" s="726"/>
      <c r="AX318" s="726"/>
      <c r="AY318" s="726"/>
      <c r="AZ318" s="726"/>
      <c r="BA318" s="726"/>
      <c r="BB318" s="726"/>
      <c r="BC318" s="726"/>
      <c r="BD318" s="726"/>
      <c r="BE318" s="726"/>
      <c r="BF318" s="726"/>
      <c r="BG318" s="726"/>
    </row>
    <row r="319" spans="1:59" x14ac:dyDescent="0.25">
      <c r="A319" s="727" t="s">
        <v>397</v>
      </c>
      <c r="B319" s="728">
        <v>1026</v>
      </c>
      <c r="C319" s="725">
        <f t="shared" si="5"/>
        <v>64.051087551124368</v>
      </c>
      <c r="D319" s="92"/>
      <c r="E319" s="726"/>
      <c r="F319" s="726"/>
      <c r="G319" s="726"/>
      <c r="H319" s="726"/>
      <c r="I319" s="745"/>
      <c r="K319" s="726"/>
      <c r="L319" s="726"/>
      <c r="M319" s="726"/>
      <c r="N319" s="726"/>
      <c r="O319" s="726"/>
      <c r="P319" s="726"/>
      <c r="Q319" s="726"/>
      <c r="R319" s="726"/>
      <c r="S319" s="726"/>
      <c r="T319" s="726"/>
      <c r="U319" s="726"/>
      <c r="V319" s="726"/>
      <c r="W319" s="726"/>
      <c r="X319" s="726"/>
      <c r="Y319" s="726"/>
      <c r="Z319" s="726"/>
      <c r="AA319" s="726"/>
      <c r="AB319" s="726"/>
      <c r="AC319" s="726"/>
      <c r="AD319" s="726"/>
      <c r="AE319" s="726"/>
      <c r="AF319" s="726"/>
      <c r="AG319" s="726"/>
      <c r="AH319" s="726"/>
      <c r="AI319" s="726"/>
      <c r="AJ319" s="726"/>
      <c r="AK319" s="726"/>
      <c r="AL319" s="726"/>
      <c r="AM319" s="726"/>
      <c r="AN319" s="726"/>
      <c r="AO319" s="726"/>
      <c r="AP319" s="726"/>
      <c r="AQ319" s="726"/>
      <c r="AR319" s="726"/>
      <c r="AS319" s="726"/>
      <c r="AT319" s="726"/>
      <c r="AU319" s="726"/>
      <c r="AV319" s="726"/>
      <c r="AW319" s="726"/>
      <c r="AX319" s="726"/>
      <c r="AY319" s="726"/>
      <c r="AZ319" s="726"/>
      <c r="BA319" s="726"/>
      <c r="BB319" s="726"/>
      <c r="BC319" s="726"/>
      <c r="BD319" s="726"/>
      <c r="BE319" s="726"/>
      <c r="BF319" s="726"/>
      <c r="BG319" s="726"/>
    </row>
    <row r="320" spans="1:59" x14ac:dyDescent="0.25">
      <c r="A320" s="727" t="s">
        <v>369</v>
      </c>
      <c r="B320" s="728">
        <v>769</v>
      </c>
      <c r="C320" s="725">
        <f t="shared" si="5"/>
        <v>48.007101683055197</v>
      </c>
      <c r="D320" s="92"/>
      <c r="E320" s="726"/>
      <c r="F320" s="726"/>
      <c r="G320" s="726"/>
      <c r="H320" s="726"/>
      <c r="I320" s="745"/>
      <c r="K320" s="726"/>
      <c r="L320" s="726"/>
      <c r="M320" s="726"/>
      <c r="N320" s="726"/>
      <c r="O320" s="726"/>
      <c r="P320" s="726"/>
      <c r="Q320" s="726"/>
      <c r="R320" s="726"/>
      <c r="S320" s="726"/>
      <c r="T320" s="726"/>
      <c r="U320" s="726"/>
      <c r="V320" s="726"/>
      <c r="W320" s="726"/>
      <c r="X320" s="726"/>
      <c r="Y320" s="726"/>
      <c r="Z320" s="726"/>
      <c r="AA320" s="726"/>
      <c r="AB320" s="726"/>
      <c r="AC320" s="726"/>
      <c r="AD320" s="726"/>
      <c r="AE320" s="726"/>
      <c r="AF320" s="726"/>
      <c r="AG320" s="726"/>
      <c r="AH320" s="726"/>
      <c r="AI320" s="726"/>
      <c r="AJ320" s="726"/>
      <c r="AK320" s="726"/>
      <c r="AL320" s="726"/>
      <c r="AM320" s="726"/>
      <c r="AN320" s="726"/>
      <c r="AO320" s="726"/>
      <c r="AP320" s="726"/>
      <c r="AQ320" s="726"/>
      <c r="AR320" s="726"/>
      <c r="AS320" s="726"/>
      <c r="AT320" s="726"/>
      <c r="AU320" s="726"/>
      <c r="AV320" s="726"/>
      <c r="AW320" s="726"/>
      <c r="AX320" s="726"/>
      <c r="AY320" s="726"/>
      <c r="AZ320" s="726"/>
      <c r="BA320" s="726"/>
      <c r="BB320" s="726"/>
      <c r="BC320" s="726"/>
      <c r="BD320" s="726"/>
      <c r="BE320" s="726"/>
      <c r="BF320" s="726"/>
      <c r="BG320" s="726"/>
    </row>
    <row r="321" spans="1:59" x14ac:dyDescent="0.25">
      <c r="A321" s="727" t="s">
        <v>370</v>
      </c>
      <c r="B321" s="728">
        <v>673</v>
      </c>
      <c r="C321" s="725">
        <f t="shared" si="5"/>
        <v>42.014017467745319</v>
      </c>
      <c r="D321" s="92"/>
      <c r="E321" s="726"/>
      <c r="F321" s="726"/>
      <c r="G321" s="726"/>
      <c r="H321" s="726"/>
      <c r="I321" s="745"/>
      <c r="K321" s="726"/>
      <c r="L321" s="726"/>
      <c r="M321" s="726"/>
      <c r="N321" s="726"/>
      <c r="O321" s="726"/>
      <c r="P321" s="726"/>
      <c r="Q321" s="726"/>
      <c r="R321" s="726"/>
      <c r="S321" s="726"/>
      <c r="T321" s="726"/>
      <c r="U321" s="726"/>
      <c r="V321" s="726"/>
      <c r="W321" s="726"/>
      <c r="X321" s="726"/>
      <c r="Y321" s="726"/>
      <c r="Z321" s="726"/>
      <c r="AA321" s="726"/>
      <c r="AB321" s="726"/>
      <c r="AC321" s="726"/>
      <c r="AD321" s="726"/>
      <c r="AE321" s="726"/>
      <c r="AF321" s="726"/>
      <c r="AG321" s="726"/>
      <c r="AH321" s="726"/>
      <c r="AI321" s="726"/>
      <c r="AJ321" s="726"/>
      <c r="AK321" s="726"/>
      <c r="AL321" s="726"/>
      <c r="AM321" s="726"/>
      <c r="AN321" s="726"/>
      <c r="AO321" s="726"/>
      <c r="AP321" s="726"/>
      <c r="AQ321" s="726"/>
      <c r="AR321" s="726"/>
      <c r="AS321" s="726"/>
      <c r="AT321" s="726"/>
      <c r="AU321" s="726"/>
      <c r="AV321" s="726"/>
      <c r="AW321" s="726"/>
      <c r="AX321" s="726"/>
      <c r="AY321" s="726"/>
      <c r="AZ321" s="726"/>
      <c r="BA321" s="726"/>
      <c r="BB321" s="726"/>
      <c r="BC321" s="726"/>
      <c r="BD321" s="726"/>
      <c r="BE321" s="726"/>
      <c r="BF321" s="726"/>
      <c r="BG321" s="726"/>
    </row>
    <row r="322" spans="1:59" x14ac:dyDescent="0.25">
      <c r="A322" s="727" t="s">
        <v>396</v>
      </c>
      <c r="B322" s="722">
        <v>380</v>
      </c>
      <c r="C322" s="725">
        <f t="shared" si="5"/>
        <v>23.722625018934949</v>
      </c>
    </row>
    <row r="323" spans="1:59" x14ac:dyDescent="0.25">
      <c r="A323" s="28" t="s">
        <v>371</v>
      </c>
      <c r="B323" s="722">
        <v>1314</v>
      </c>
      <c r="C323" s="725">
        <f t="shared" si="5"/>
        <v>82.030340197054016</v>
      </c>
    </row>
    <row r="324" spans="1:59" s="616" customFormat="1" x14ac:dyDescent="0.25">
      <c r="A324" s="741" t="s">
        <v>391</v>
      </c>
      <c r="B324" s="730">
        <v>1800</v>
      </c>
      <c r="C324" s="725">
        <f t="shared" si="5"/>
        <v>112.37032903706029</v>
      </c>
      <c r="D324" s="644"/>
      <c r="E324" s="737"/>
      <c r="F324" s="737"/>
      <c r="G324" s="737"/>
      <c r="H324" s="737"/>
      <c r="I324" s="742"/>
      <c r="J324" s="644"/>
      <c r="K324" s="737"/>
      <c r="L324" s="737"/>
      <c r="M324" s="737"/>
      <c r="N324" s="737"/>
      <c r="O324" s="737"/>
      <c r="P324" s="737"/>
      <c r="Q324" s="737"/>
      <c r="R324" s="737"/>
      <c r="S324" s="737"/>
      <c r="T324" s="737"/>
      <c r="U324" s="737"/>
      <c r="V324" s="737"/>
      <c r="W324" s="737"/>
      <c r="X324" s="737"/>
      <c r="Y324" s="737"/>
      <c r="Z324" s="737"/>
      <c r="AA324" s="737"/>
      <c r="AB324" s="737"/>
      <c r="AC324" s="737"/>
      <c r="AD324" s="737"/>
      <c r="AE324" s="737"/>
      <c r="AF324" s="737"/>
      <c r="AG324" s="737"/>
      <c r="AH324" s="737"/>
      <c r="AI324" s="737"/>
      <c r="AJ324" s="737"/>
      <c r="AK324" s="737"/>
      <c r="AL324" s="737"/>
      <c r="AM324" s="737"/>
      <c r="AN324" s="737"/>
      <c r="AO324" s="737"/>
      <c r="AP324" s="737"/>
      <c r="AQ324" s="737"/>
      <c r="AR324" s="737"/>
      <c r="AS324" s="737"/>
      <c r="AT324" s="737"/>
      <c r="AU324" s="737"/>
      <c r="AV324" s="737"/>
      <c r="AW324" s="737"/>
      <c r="AX324" s="737"/>
      <c r="AY324" s="737"/>
      <c r="AZ324" s="737"/>
      <c r="BA324" s="737"/>
      <c r="BB324" s="737"/>
      <c r="BC324" s="737"/>
      <c r="BD324" s="737"/>
      <c r="BE324" s="737"/>
      <c r="BF324" s="737"/>
      <c r="BG324" s="737"/>
    </row>
    <row r="325" spans="1:59" s="616" customFormat="1" x14ac:dyDescent="0.25">
      <c r="A325" s="741" t="s">
        <v>372</v>
      </c>
      <c r="B325" s="730">
        <v>400</v>
      </c>
      <c r="C325" s="725">
        <f t="shared" si="5"/>
        <v>24.97118423045784</v>
      </c>
      <c r="I325" s="731"/>
      <c r="J325" s="644"/>
    </row>
    <row r="326" spans="1:59" x14ac:dyDescent="0.25">
      <c r="A326" s="28" t="s">
        <v>468</v>
      </c>
      <c r="B326" s="724">
        <v>940</v>
      </c>
      <c r="C326" s="725">
        <f t="shared" si="5"/>
        <v>58.682282941575934</v>
      </c>
      <c r="D326" s="92"/>
      <c r="E326" s="726"/>
      <c r="F326" s="726"/>
      <c r="G326" s="726"/>
      <c r="H326" s="726"/>
      <c r="I326" s="745"/>
      <c r="K326" s="726"/>
      <c r="L326" s="726"/>
      <c r="M326" s="726"/>
      <c r="N326" s="726"/>
      <c r="O326" s="726"/>
      <c r="P326" s="726"/>
      <c r="Q326" s="726"/>
      <c r="R326" s="726"/>
      <c r="S326" s="726"/>
      <c r="T326" s="726"/>
      <c r="U326" s="726"/>
      <c r="V326" s="726"/>
      <c r="W326" s="726"/>
      <c r="X326" s="726"/>
      <c r="Y326" s="726"/>
      <c r="Z326" s="726"/>
      <c r="AA326" s="726"/>
      <c r="AB326" s="726"/>
      <c r="AC326" s="726"/>
      <c r="AD326" s="726"/>
      <c r="AE326" s="726"/>
      <c r="AF326" s="726"/>
      <c r="AG326" s="726"/>
      <c r="AH326" s="726"/>
      <c r="AI326" s="726"/>
      <c r="AJ326" s="726"/>
      <c r="AK326" s="726"/>
      <c r="AL326" s="726"/>
      <c r="AM326" s="726"/>
      <c r="AN326" s="726"/>
      <c r="AO326" s="726"/>
      <c r="AP326" s="726"/>
      <c r="AQ326" s="726"/>
      <c r="AR326" s="726"/>
      <c r="AS326" s="726"/>
      <c r="AT326" s="726"/>
      <c r="AU326" s="726"/>
      <c r="AV326" s="726"/>
      <c r="AW326" s="726"/>
      <c r="AX326" s="726"/>
      <c r="AY326" s="726"/>
      <c r="AZ326" s="726"/>
      <c r="BA326" s="726"/>
      <c r="BB326" s="726"/>
      <c r="BC326" s="726"/>
      <c r="BD326" s="726"/>
      <c r="BE326" s="726"/>
      <c r="BF326" s="726"/>
      <c r="BG326" s="726"/>
    </row>
    <row r="327" spans="1:59" x14ac:dyDescent="0.25">
      <c r="A327" s="28" t="s">
        <v>431</v>
      </c>
      <c r="B327" s="724">
        <v>0</v>
      </c>
      <c r="C327" s="725">
        <f t="shared" si="5"/>
        <v>0</v>
      </c>
      <c r="D327" s="92"/>
      <c r="E327" s="726"/>
      <c r="F327" s="726"/>
      <c r="G327" s="726"/>
      <c r="H327" s="726"/>
      <c r="I327" s="745"/>
      <c r="K327" s="726"/>
      <c r="L327" s="726"/>
      <c r="M327" s="726"/>
      <c r="N327" s="726"/>
      <c r="O327" s="726"/>
      <c r="P327" s="726"/>
      <c r="Q327" s="726"/>
      <c r="R327" s="726"/>
      <c r="S327" s="726"/>
      <c r="T327" s="726"/>
      <c r="U327" s="726"/>
      <c r="V327" s="726"/>
      <c r="W327" s="726"/>
      <c r="X327" s="726"/>
      <c r="Y327" s="726"/>
      <c r="Z327" s="726"/>
      <c r="AA327" s="726"/>
      <c r="AB327" s="726"/>
      <c r="AC327" s="726"/>
      <c r="AD327" s="726"/>
      <c r="AE327" s="726"/>
      <c r="AF327" s="726"/>
      <c r="AG327" s="726"/>
      <c r="AH327" s="726"/>
      <c r="AI327" s="726"/>
      <c r="AJ327" s="726"/>
      <c r="AK327" s="726"/>
      <c r="AL327" s="726"/>
      <c r="AM327" s="726"/>
      <c r="AN327" s="726"/>
      <c r="AO327" s="726"/>
      <c r="AP327" s="726"/>
      <c r="AQ327" s="726"/>
      <c r="AR327" s="726"/>
      <c r="AS327" s="726"/>
      <c r="AT327" s="726"/>
      <c r="AU327" s="726"/>
      <c r="AV327" s="726"/>
      <c r="AW327" s="726"/>
      <c r="AX327" s="726"/>
      <c r="AY327" s="726"/>
      <c r="AZ327" s="726"/>
      <c r="BA327" s="726"/>
      <c r="BB327" s="726"/>
      <c r="BC327" s="726"/>
      <c r="BD327" s="726"/>
      <c r="BE327" s="726"/>
      <c r="BF327" s="726"/>
      <c r="BG327" s="726"/>
    </row>
    <row r="328" spans="1:59" x14ac:dyDescent="0.25">
      <c r="A328" s="28" t="s">
        <v>432</v>
      </c>
      <c r="B328" s="724">
        <v>0</v>
      </c>
      <c r="C328" s="725">
        <f t="shared" si="5"/>
        <v>0</v>
      </c>
      <c r="D328" s="92"/>
      <c r="E328" s="726"/>
      <c r="F328" s="726"/>
      <c r="G328" s="726"/>
      <c r="H328" s="726"/>
      <c r="I328" s="745"/>
      <c r="K328" s="726"/>
      <c r="L328" s="726"/>
      <c r="M328" s="726"/>
      <c r="N328" s="726"/>
      <c r="O328" s="726"/>
      <c r="P328" s="726"/>
      <c r="Q328" s="726"/>
      <c r="R328" s="726"/>
      <c r="S328" s="726"/>
      <c r="T328" s="726"/>
      <c r="U328" s="726"/>
      <c r="V328" s="726"/>
      <c r="W328" s="726"/>
      <c r="X328" s="726"/>
      <c r="Y328" s="726"/>
      <c r="Z328" s="726"/>
      <c r="AA328" s="726"/>
      <c r="AB328" s="726"/>
      <c r="AC328" s="726"/>
      <c r="AD328" s="726"/>
      <c r="AE328" s="726"/>
      <c r="AF328" s="726"/>
      <c r="AG328" s="726"/>
      <c r="AH328" s="726"/>
      <c r="AI328" s="726"/>
      <c r="AJ328" s="726"/>
      <c r="AK328" s="726"/>
      <c r="AL328" s="726"/>
      <c r="AM328" s="726"/>
      <c r="AN328" s="726"/>
      <c r="AO328" s="726"/>
      <c r="AP328" s="726"/>
      <c r="AQ328" s="726"/>
      <c r="AR328" s="726"/>
      <c r="AS328" s="726"/>
      <c r="AT328" s="726"/>
      <c r="AU328" s="726"/>
      <c r="AV328" s="726"/>
      <c r="AW328" s="726"/>
      <c r="AX328" s="726"/>
      <c r="AY328" s="726"/>
      <c r="AZ328" s="726"/>
      <c r="BA328" s="726"/>
      <c r="BB328" s="726"/>
      <c r="BC328" s="726"/>
      <c r="BD328" s="726"/>
      <c r="BE328" s="726"/>
      <c r="BF328" s="726"/>
      <c r="BG328" s="726"/>
    </row>
    <row r="329" spans="1:59" x14ac:dyDescent="0.25">
      <c r="B329" s="724">
        <v>0</v>
      </c>
      <c r="C329" s="725">
        <f t="shared" si="5"/>
        <v>0</v>
      </c>
      <c r="D329" s="92"/>
      <c r="E329" s="726"/>
      <c r="F329" s="726"/>
      <c r="G329" s="726"/>
      <c r="H329" s="726"/>
      <c r="I329" s="745"/>
      <c r="K329" s="726"/>
      <c r="L329" s="726"/>
      <c r="M329" s="726"/>
      <c r="N329" s="726"/>
      <c r="O329" s="726"/>
      <c r="P329" s="726"/>
      <c r="Q329" s="726"/>
      <c r="R329" s="726"/>
      <c r="S329" s="726"/>
      <c r="T329" s="726"/>
      <c r="U329" s="726"/>
      <c r="V329" s="726"/>
      <c r="W329" s="726"/>
      <c r="X329" s="726"/>
      <c r="Y329" s="726"/>
      <c r="Z329" s="726"/>
      <c r="AA329" s="726"/>
      <c r="AB329" s="726"/>
      <c r="AC329" s="726"/>
      <c r="AD329" s="726"/>
      <c r="AE329" s="726"/>
      <c r="AF329" s="726"/>
      <c r="AG329" s="726"/>
      <c r="AH329" s="726"/>
      <c r="AI329" s="726"/>
      <c r="AJ329" s="726"/>
      <c r="AK329" s="726"/>
      <c r="AL329" s="726"/>
      <c r="AM329" s="726"/>
      <c r="AN329" s="726"/>
      <c r="AO329" s="726"/>
      <c r="AP329" s="726"/>
      <c r="AQ329" s="726"/>
      <c r="AR329" s="726"/>
      <c r="AS329" s="726"/>
      <c r="AT329" s="726"/>
      <c r="AU329" s="726"/>
      <c r="AV329" s="726"/>
      <c r="AW329" s="726"/>
      <c r="AX329" s="726"/>
      <c r="AY329" s="726"/>
      <c r="AZ329" s="726"/>
      <c r="BA329" s="726"/>
      <c r="BB329" s="726"/>
      <c r="BC329" s="726"/>
      <c r="BD329" s="726"/>
      <c r="BE329" s="726"/>
      <c r="BF329" s="726"/>
      <c r="BG329" s="726"/>
    </row>
    <row r="330" spans="1:59" x14ac:dyDescent="0.25">
      <c r="B330" s="724">
        <v>0</v>
      </c>
      <c r="C330" s="725">
        <f t="shared" si="5"/>
        <v>0</v>
      </c>
      <c r="D330" s="92"/>
      <c r="E330" s="726"/>
      <c r="F330" s="726"/>
      <c r="G330" s="726"/>
      <c r="H330" s="726"/>
      <c r="I330" s="745"/>
      <c r="K330" s="726"/>
      <c r="L330" s="726"/>
      <c r="M330" s="726"/>
      <c r="N330" s="726"/>
      <c r="O330" s="726"/>
      <c r="P330" s="726"/>
      <c r="Q330" s="726"/>
      <c r="R330" s="726"/>
      <c r="S330" s="726"/>
      <c r="T330" s="726"/>
      <c r="U330" s="726"/>
      <c r="V330" s="726"/>
      <c r="W330" s="726"/>
      <c r="X330" s="726"/>
      <c r="Y330" s="726"/>
      <c r="Z330" s="726"/>
      <c r="AA330" s="726"/>
      <c r="AB330" s="726"/>
      <c r="AC330" s="726"/>
      <c r="AD330" s="726"/>
      <c r="AE330" s="726"/>
      <c r="AF330" s="726"/>
      <c r="AG330" s="726"/>
      <c r="AH330" s="726"/>
      <c r="AI330" s="726"/>
      <c r="AJ330" s="726"/>
      <c r="AK330" s="726"/>
      <c r="AL330" s="726"/>
      <c r="AM330" s="726"/>
      <c r="AN330" s="726"/>
      <c r="AO330" s="726"/>
      <c r="AP330" s="726"/>
      <c r="AQ330" s="726"/>
      <c r="AR330" s="726"/>
      <c r="AS330" s="726"/>
      <c r="AT330" s="726"/>
      <c r="AU330" s="726"/>
      <c r="AV330" s="726"/>
      <c r="AW330" s="726"/>
      <c r="AX330" s="726"/>
      <c r="AY330" s="726"/>
      <c r="AZ330" s="726"/>
      <c r="BA330" s="726"/>
      <c r="BB330" s="726"/>
      <c r="BC330" s="726"/>
      <c r="BD330" s="726"/>
      <c r="BE330" s="726"/>
      <c r="BF330" s="726"/>
      <c r="BG330" s="726"/>
    </row>
    <row r="331" spans="1:59" ht="13" x14ac:dyDescent="0.3">
      <c r="A331" s="734" t="s">
        <v>621</v>
      </c>
      <c r="B331" s="739" t="s">
        <v>30</v>
      </c>
      <c r="C331" s="740" t="s">
        <v>37</v>
      </c>
      <c r="D331" s="92"/>
      <c r="E331" s="726"/>
      <c r="F331" s="726"/>
      <c r="G331" s="726"/>
      <c r="H331" s="726"/>
      <c r="I331" s="745"/>
      <c r="K331" s="726"/>
      <c r="L331" s="726"/>
      <c r="M331" s="726"/>
      <c r="N331" s="726"/>
      <c r="O331" s="726"/>
      <c r="P331" s="726"/>
      <c r="Q331" s="726"/>
      <c r="R331" s="726"/>
      <c r="S331" s="726"/>
      <c r="T331" s="726"/>
      <c r="U331" s="726"/>
      <c r="V331" s="726"/>
      <c r="W331" s="726"/>
      <c r="X331" s="726"/>
      <c r="Y331" s="726"/>
      <c r="Z331" s="726"/>
      <c r="AA331" s="726"/>
      <c r="AB331" s="726"/>
      <c r="AC331" s="726"/>
      <c r="AD331" s="726"/>
      <c r="AE331" s="726"/>
      <c r="AF331" s="726"/>
      <c r="AG331" s="726"/>
      <c r="AH331" s="726"/>
      <c r="AI331" s="726"/>
      <c r="AJ331" s="726"/>
      <c r="AK331" s="726"/>
      <c r="AL331" s="726"/>
      <c r="AM331" s="726"/>
      <c r="AN331" s="726"/>
      <c r="AO331" s="726"/>
      <c r="AP331" s="726"/>
      <c r="AQ331" s="726"/>
      <c r="AR331" s="726"/>
      <c r="AS331" s="726"/>
      <c r="AT331" s="726"/>
      <c r="AU331" s="726"/>
      <c r="AV331" s="726"/>
      <c r="AW331" s="726"/>
      <c r="AX331" s="726"/>
      <c r="AY331" s="726"/>
      <c r="AZ331" s="726"/>
      <c r="BA331" s="726"/>
      <c r="BB331" s="726"/>
      <c r="BC331" s="726"/>
      <c r="BD331" s="726"/>
      <c r="BE331" s="726"/>
      <c r="BF331" s="726"/>
      <c r="BG331" s="726"/>
    </row>
    <row r="332" spans="1:59" x14ac:dyDescent="0.25">
      <c r="D332" s="92"/>
      <c r="E332" s="726"/>
      <c r="F332" s="726"/>
      <c r="G332" s="726"/>
      <c r="H332" s="726"/>
      <c r="I332" s="745"/>
      <c r="K332" s="726"/>
      <c r="L332" s="726"/>
      <c r="M332" s="726"/>
      <c r="N332" s="726"/>
      <c r="O332" s="726"/>
      <c r="P332" s="726"/>
      <c r="Q332" s="726"/>
      <c r="R332" s="726"/>
      <c r="S332" s="726"/>
      <c r="T332" s="726"/>
      <c r="U332" s="726"/>
      <c r="V332" s="726"/>
      <c r="W332" s="726"/>
      <c r="X332" s="726"/>
      <c r="Y332" s="726"/>
      <c r="Z332" s="726"/>
      <c r="AA332" s="726"/>
      <c r="AB332" s="726"/>
      <c r="AC332" s="726"/>
      <c r="AD332" s="726"/>
      <c r="AE332" s="726"/>
      <c r="AF332" s="726"/>
      <c r="AG332" s="726"/>
      <c r="AH332" s="726"/>
      <c r="AI332" s="726"/>
      <c r="AJ332" s="726"/>
      <c r="AK332" s="726"/>
      <c r="AL332" s="726"/>
      <c r="AM332" s="726"/>
      <c r="AN332" s="726"/>
      <c r="AO332" s="726"/>
      <c r="AP332" s="726"/>
      <c r="AQ332" s="726"/>
      <c r="AR332" s="726"/>
      <c r="AS332" s="726"/>
      <c r="AT332" s="726"/>
      <c r="AU332" s="726"/>
      <c r="AV332" s="726"/>
      <c r="AW332" s="726"/>
      <c r="AX332" s="726"/>
      <c r="AY332" s="726"/>
      <c r="AZ332" s="726"/>
      <c r="BA332" s="726"/>
      <c r="BB332" s="726"/>
      <c r="BC332" s="726"/>
      <c r="BD332" s="726"/>
      <c r="BE332" s="726"/>
      <c r="BF332" s="726"/>
      <c r="BG332" s="726"/>
    </row>
    <row r="333" spans="1:59" x14ac:dyDescent="0.25">
      <c r="A333" s="28" t="s">
        <v>596</v>
      </c>
      <c r="B333" s="722">
        <v>8600</v>
      </c>
      <c r="C333" s="725">
        <f t="shared" ref="C333:C361" si="6">(B333*(2.20462262184877))/35.3146667214885</f>
        <v>536.88046095484356</v>
      </c>
      <c r="D333" s="92"/>
      <c r="E333" s="726"/>
      <c r="F333" s="726"/>
      <c r="G333" s="726"/>
      <c r="H333" s="726"/>
      <c r="I333" s="745"/>
      <c r="K333" s="726"/>
      <c r="L333" s="726"/>
      <c r="M333" s="726"/>
      <c r="N333" s="726"/>
      <c r="O333" s="726"/>
      <c r="P333" s="726"/>
      <c r="Q333" s="726"/>
      <c r="R333" s="726"/>
      <c r="S333" s="726"/>
      <c r="T333" s="726"/>
      <c r="U333" s="726"/>
      <c r="V333" s="726"/>
      <c r="W333" s="726"/>
      <c r="X333" s="726"/>
      <c r="Y333" s="726"/>
      <c r="Z333" s="726"/>
      <c r="AA333" s="726"/>
      <c r="AB333" s="726"/>
      <c r="AC333" s="726"/>
      <c r="AD333" s="726"/>
      <c r="AE333" s="726"/>
      <c r="AF333" s="726"/>
      <c r="AG333" s="726"/>
      <c r="AH333" s="726"/>
      <c r="AI333" s="726"/>
      <c r="AJ333" s="726"/>
      <c r="AK333" s="726"/>
      <c r="AL333" s="726"/>
      <c r="AM333" s="726"/>
      <c r="AN333" s="726"/>
      <c r="AO333" s="726"/>
      <c r="AP333" s="726"/>
      <c r="AQ333" s="726"/>
      <c r="AR333" s="726"/>
      <c r="AS333" s="726"/>
      <c r="AT333" s="726"/>
      <c r="AU333" s="726"/>
      <c r="AV333" s="726"/>
      <c r="AW333" s="726"/>
      <c r="AX333" s="726"/>
      <c r="AY333" s="726"/>
      <c r="AZ333" s="726"/>
      <c r="BA333" s="726"/>
      <c r="BB333" s="726"/>
      <c r="BC333" s="726"/>
      <c r="BD333" s="726"/>
      <c r="BE333" s="726"/>
      <c r="BF333" s="726"/>
      <c r="BG333" s="726"/>
    </row>
    <row r="334" spans="1:59" x14ac:dyDescent="0.25">
      <c r="A334" s="28" t="s">
        <v>597</v>
      </c>
      <c r="B334" s="722">
        <v>8650</v>
      </c>
      <c r="C334" s="725">
        <f t="shared" si="6"/>
        <v>540.00185898365078</v>
      </c>
      <c r="D334" s="92"/>
      <c r="E334" s="726"/>
      <c r="F334" s="726"/>
      <c r="G334" s="726"/>
      <c r="H334" s="726"/>
      <c r="I334" s="745"/>
      <c r="K334" s="726"/>
      <c r="L334" s="726"/>
      <c r="M334" s="726"/>
      <c r="N334" s="726"/>
      <c r="O334" s="726"/>
      <c r="P334" s="726"/>
      <c r="Q334" s="726"/>
      <c r="R334" s="726"/>
      <c r="S334" s="726"/>
      <c r="T334" s="726"/>
      <c r="U334" s="726"/>
      <c r="V334" s="726"/>
      <c r="W334" s="726"/>
      <c r="X334" s="726"/>
      <c r="Y334" s="726"/>
      <c r="Z334" s="726"/>
      <c r="AA334" s="726"/>
      <c r="AB334" s="726"/>
      <c r="AC334" s="726"/>
      <c r="AD334" s="726"/>
      <c r="AE334" s="726"/>
      <c r="AF334" s="726"/>
      <c r="AG334" s="726"/>
      <c r="AH334" s="726"/>
      <c r="AI334" s="726"/>
      <c r="AJ334" s="726"/>
      <c r="AK334" s="726"/>
      <c r="AL334" s="726"/>
      <c r="AM334" s="726"/>
      <c r="AN334" s="726"/>
      <c r="AO334" s="726"/>
      <c r="AP334" s="726"/>
      <c r="AQ334" s="726"/>
      <c r="AR334" s="726"/>
      <c r="AS334" s="726"/>
      <c r="AT334" s="726"/>
      <c r="AU334" s="726"/>
      <c r="AV334" s="726"/>
      <c r="AW334" s="726"/>
      <c r="AX334" s="726"/>
      <c r="AY334" s="726"/>
      <c r="AZ334" s="726"/>
      <c r="BA334" s="726"/>
      <c r="BB334" s="726"/>
      <c r="BC334" s="726"/>
      <c r="BD334" s="726"/>
      <c r="BE334" s="726"/>
      <c r="BF334" s="726"/>
      <c r="BG334" s="726"/>
    </row>
    <row r="335" spans="1:59" x14ac:dyDescent="0.25">
      <c r="A335" s="28" t="s">
        <v>598</v>
      </c>
      <c r="B335" s="722">
        <v>19320</v>
      </c>
      <c r="C335" s="725">
        <f t="shared" si="6"/>
        <v>1206.1081983311137</v>
      </c>
      <c r="D335" s="92"/>
      <c r="E335" s="726"/>
      <c r="F335" s="726"/>
      <c r="G335" s="726"/>
      <c r="H335" s="726"/>
      <c r="I335" s="745"/>
      <c r="K335" s="726"/>
      <c r="L335" s="726"/>
      <c r="M335" s="726"/>
      <c r="N335" s="726"/>
      <c r="O335" s="726"/>
      <c r="P335" s="726"/>
      <c r="Q335" s="726"/>
      <c r="R335" s="726"/>
      <c r="S335" s="726"/>
      <c r="T335" s="726"/>
      <c r="U335" s="726"/>
      <c r="V335" s="726"/>
      <c r="W335" s="726"/>
      <c r="X335" s="726"/>
      <c r="Y335" s="726"/>
      <c r="Z335" s="726"/>
      <c r="AA335" s="726"/>
      <c r="AB335" s="726"/>
      <c r="AC335" s="726"/>
      <c r="AD335" s="726"/>
      <c r="AE335" s="726"/>
      <c r="AF335" s="726"/>
      <c r="AG335" s="726"/>
      <c r="AH335" s="726"/>
      <c r="AI335" s="726"/>
      <c r="AJ335" s="726"/>
      <c r="AK335" s="726"/>
      <c r="AL335" s="726"/>
      <c r="AM335" s="726"/>
      <c r="AN335" s="726"/>
      <c r="AO335" s="726"/>
      <c r="AP335" s="726"/>
      <c r="AQ335" s="726"/>
      <c r="AR335" s="726"/>
      <c r="AS335" s="726"/>
      <c r="AT335" s="726"/>
      <c r="AU335" s="726"/>
      <c r="AV335" s="726"/>
      <c r="AW335" s="726"/>
      <c r="AX335" s="726"/>
      <c r="AY335" s="726"/>
      <c r="AZ335" s="726"/>
      <c r="BA335" s="726"/>
      <c r="BB335" s="726"/>
      <c r="BC335" s="726"/>
      <c r="BD335" s="726"/>
      <c r="BE335" s="726"/>
      <c r="BF335" s="726"/>
      <c r="BG335" s="726"/>
    </row>
    <row r="336" spans="1:59" x14ac:dyDescent="0.25">
      <c r="A336" s="28" t="s">
        <v>599</v>
      </c>
      <c r="B336" s="722">
        <v>7850</v>
      </c>
      <c r="C336" s="725">
        <f t="shared" si="6"/>
        <v>490.05949052273513</v>
      </c>
      <c r="D336" s="92"/>
      <c r="E336" s="726"/>
      <c r="F336" s="726"/>
      <c r="G336" s="726"/>
      <c r="H336" s="726"/>
      <c r="I336" s="745"/>
      <c r="K336" s="726"/>
      <c r="L336" s="726"/>
      <c r="M336" s="726"/>
      <c r="N336" s="726"/>
      <c r="O336" s="726"/>
      <c r="P336" s="726"/>
      <c r="Q336" s="726"/>
      <c r="R336" s="726"/>
      <c r="S336" s="726"/>
      <c r="T336" s="726"/>
      <c r="U336" s="726"/>
      <c r="V336" s="726"/>
      <c r="W336" s="726"/>
      <c r="X336" s="726"/>
      <c r="Y336" s="726"/>
      <c r="Z336" s="726"/>
      <c r="AA336" s="726"/>
      <c r="AB336" s="726"/>
      <c r="AC336" s="726"/>
      <c r="AD336" s="726"/>
      <c r="AE336" s="726"/>
      <c r="AF336" s="726"/>
      <c r="AG336" s="726"/>
      <c r="AH336" s="726"/>
      <c r="AI336" s="726"/>
      <c r="AJ336" s="726"/>
      <c r="AK336" s="726"/>
      <c r="AL336" s="726"/>
      <c r="AM336" s="726"/>
      <c r="AN336" s="726"/>
      <c r="AO336" s="726"/>
      <c r="AP336" s="726"/>
      <c r="AQ336" s="726"/>
      <c r="AR336" s="726"/>
      <c r="AS336" s="726"/>
      <c r="AT336" s="726"/>
      <c r="AU336" s="726"/>
      <c r="AV336" s="726"/>
      <c r="AW336" s="726"/>
      <c r="AX336" s="726"/>
      <c r="AY336" s="726"/>
      <c r="AZ336" s="726"/>
      <c r="BA336" s="726"/>
      <c r="BB336" s="726"/>
      <c r="BC336" s="726"/>
      <c r="BD336" s="726"/>
      <c r="BE336" s="726"/>
      <c r="BF336" s="726"/>
      <c r="BG336" s="726"/>
    </row>
    <row r="337" spans="1:59" x14ac:dyDescent="0.25">
      <c r="A337" s="28" t="s">
        <v>600</v>
      </c>
      <c r="B337" s="722">
        <v>11340</v>
      </c>
      <c r="C337" s="725">
        <f t="shared" si="6"/>
        <v>707.93307293347982</v>
      </c>
      <c r="D337" s="92"/>
      <c r="E337" s="726"/>
      <c r="F337" s="726"/>
      <c r="G337" s="726"/>
      <c r="H337" s="726"/>
      <c r="I337" s="745"/>
      <c r="K337" s="726"/>
      <c r="L337" s="726"/>
      <c r="M337" s="726"/>
      <c r="N337" s="726"/>
      <c r="O337" s="726"/>
      <c r="P337" s="726"/>
      <c r="Q337" s="726"/>
      <c r="R337" s="726"/>
      <c r="S337" s="726"/>
      <c r="T337" s="726"/>
      <c r="U337" s="726"/>
      <c r="V337" s="726"/>
      <c r="W337" s="726"/>
      <c r="X337" s="726"/>
      <c r="Y337" s="726"/>
      <c r="Z337" s="726"/>
      <c r="AA337" s="726"/>
      <c r="AB337" s="726"/>
      <c r="AC337" s="726"/>
      <c r="AD337" s="726"/>
      <c r="AE337" s="726"/>
      <c r="AF337" s="726"/>
      <c r="AG337" s="726"/>
      <c r="AH337" s="726"/>
      <c r="AI337" s="726"/>
      <c r="AJ337" s="726"/>
      <c r="AK337" s="726"/>
      <c r="AL337" s="726"/>
      <c r="AM337" s="726"/>
      <c r="AN337" s="726"/>
      <c r="AO337" s="726"/>
      <c r="AP337" s="726"/>
      <c r="AQ337" s="726"/>
      <c r="AR337" s="726"/>
      <c r="AS337" s="726"/>
      <c r="AT337" s="726"/>
      <c r="AU337" s="726"/>
      <c r="AV337" s="726"/>
      <c r="AW337" s="726"/>
      <c r="AX337" s="726"/>
      <c r="AY337" s="726"/>
      <c r="AZ337" s="726"/>
      <c r="BA337" s="726"/>
      <c r="BB337" s="726"/>
      <c r="BC337" s="726"/>
      <c r="BD337" s="726"/>
      <c r="BE337" s="726"/>
      <c r="BF337" s="726"/>
      <c r="BG337" s="726"/>
    </row>
    <row r="338" spans="1:59" x14ac:dyDescent="0.25">
      <c r="A338" s="28" t="s">
        <v>601</v>
      </c>
      <c r="B338" s="722">
        <v>2680</v>
      </c>
      <c r="C338" s="725">
        <f t="shared" si="6"/>
        <v>167.30693434406754</v>
      </c>
      <c r="D338" s="92"/>
      <c r="E338" s="726"/>
      <c r="F338" s="726"/>
      <c r="G338" s="726"/>
      <c r="H338" s="726"/>
      <c r="I338" s="745"/>
      <c r="K338" s="726"/>
      <c r="L338" s="726"/>
      <c r="M338" s="726"/>
      <c r="N338" s="726"/>
      <c r="O338" s="726"/>
      <c r="P338" s="726"/>
      <c r="Q338" s="726"/>
      <c r="R338" s="726"/>
      <c r="S338" s="726"/>
      <c r="T338" s="726"/>
      <c r="U338" s="726"/>
      <c r="V338" s="726"/>
      <c r="W338" s="726"/>
      <c r="X338" s="726"/>
      <c r="Y338" s="726"/>
      <c r="Z338" s="726"/>
      <c r="AA338" s="726"/>
      <c r="AB338" s="726"/>
      <c r="AC338" s="726"/>
      <c r="AD338" s="726"/>
      <c r="AE338" s="726"/>
      <c r="AF338" s="726"/>
      <c r="AG338" s="726"/>
      <c r="AH338" s="726"/>
      <c r="AI338" s="726"/>
      <c r="AJ338" s="726"/>
      <c r="AK338" s="726"/>
      <c r="AL338" s="726"/>
      <c r="AM338" s="726"/>
      <c r="AN338" s="726"/>
      <c r="AO338" s="726"/>
      <c r="AP338" s="726"/>
      <c r="AQ338" s="726"/>
      <c r="AR338" s="726"/>
      <c r="AS338" s="726"/>
      <c r="AT338" s="726"/>
      <c r="AU338" s="726"/>
      <c r="AV338" s="726"/>
      <c r="AW338" s="726"/>
      <c r="AX338" s="726"/>
      <c r="AY338" s="726"/>
      <c r="AZ338" s="726"/>
      <c r="BA338" s="726"/>
      <c r="BB338" s="726"/>
      <c r="BC338" s="726"/>
      <c r="BD338" s="726"/>
      <c r="BE338" s="726"/>
      <c r="BF338" s="726"/>
      <c r="BG338" s="726"/>
    </row>
    <row r="339" spans="1:59" x14ac:dyDescent="0.25">
      <c r="A339" s="28" t="s">
        <v>602</v>
      </c>
      <c r="B339" s="722">
        <v>1815</v>
      </c>
      <c r="C339" s="725">
        <f t="shared" si="6"/>
        <v>113.30674844570245</v>
      </c>
      <c r="D339" s="92"/>
      <c r="E339" s="726"/>
      <c r="F339" s="726"/>
      <c r="G339" s="726"/>
      <c r="H339" s="726"/>
      <c r="I339" s="745"/>
      <c r="K339" s="726"/>
      <c r="L339" s="726"/>
      <c r="M339" s="726"/>
      <c r="N339" s="726"/>
      <c r="O339" s="726"/>
      <c r="P339" s="726"/>
      <c r="Q339" s="726"/>
      <c r="R339" s="726"/>
      <c r="S339" s="726"/>
      <c r="T339" s="726"/>
      <c r="U339" s="726"/>
      <c r="V339" s="726"/>
      <c r="W339" s="726"/>
      <c r="X339" s="726"/>
      <c r="Y339" s="726"/>
      <c r="Z339" s="726"/>
      <c r="AA339" s="726"/>
      <c r="AB339" s="726"/>
      <c r="AC339" s="726"/>
      <c r="AD339" s="726"/>
      <c r="AE339" s="726"/>
      <c r="AF339" s="726"/>
      <c r="AG339" s="726"/>
      <c r="AH339" s="726"/>
      <c r="AI339" s="726"/>
      <c r="AJ339" s="726"/>
      <c r="AK339" s="726"/>
      <c r="AL339" s="726"/>
      <c r="AM339" s="726"/>
      <c r="AN339" s="726"/>
      <c r="AO339" s="726"/>
      <c r="AP339" s="726"/>
      <c r="AQ339" s="726"/>
      <c r="AR339" s="726"/>
      <c r="AS339" s="726"/>
      <c r="AT339" s="726"/>
      <c r="AU339" s="726"/>
      <c r="AV339" s="726"/>
      <c r="AW339" s="726"/>
      <c r="AX339" s="726"/>
      <c r="AY339" s="726"/>
      <c r="AZ339" s="726"/>
      <c r="BA339" s="726"/>
      <c r="BB339" s="726"/>
      <c r="BC339" s="726"/>
      <c r="BD339" s="726"/>
      <c r="BE339" s="726"/>
      <c r="BF339" s="726"/>
      <c r="BG339" s="726"/>
    </row>
    <row r="340" spans="1:59" x14ac:dyDescent="0.25">
      <c r="A340" s="28" t="s">
        <v>603</v>
      </c>
      <c r="B340" s="722">
        <v>1738</v>
      </c>
      <c r="C340" s="725">
        <f t="shared" si="6"/>
        <v>108.49979548133932</v>
      </c>
      <c r="D340" s="92"/>
      <c r="E340" s="726"/>
      <c r="F340" s="726"/>
      <c r="G340" s="726"/>
      <c r="H340" s="726"/>
      <c r="I340" s="745"/>
      <c r="K340" s="726"/>
      <c r="L340" s="726"/>
      <c r="M340" s="726"/>
      <c r="N340" s="726"/>
      <c r="O340" s="726"/>
      <c r="P340" s="726"/>
      <c r="Q340" s="726"/>
      <c r="R340" s="726"/>
      <c r="S340" s="726"/>
      <c r="T340" s="726"/>
      <c r="U340" s="726"/>
      <c r="V340" s="726"/>
      <c r="W340" s="726"/>
      <c r="X340" s="726"/>
      <c r="Y340" s="726"/>
      <c r="Z340" s="726"/>
      <c r="AA340" s="726"/>
      <c r="AB340" s="726"/>
      <c r="AC340" s="726"/>
      <c r="AD340" s="726"/>
      <c r="AE340" s="726"/>
      <c r="AF340" s="726"/>
      <c r="AG340" s="726"/>
      <c r="AH340" s="726"/>
      <c r="AI340" s="726"/>
      <c r="AJ340" s="726"/>
      <c r="AK340" s="726"/>
      <c r="AL340" s="726"/>
      <c r="AM340" s="726"/>
      <c r="AN340" s="726"/>
      <c r="AO340" s="726"/>
      <c r="AP340" s="726"/>
      <c r="AQ340" s="726"/>
      <c r="AR340" s="726"/>
      <c r="AS340" s="726"/>
      <c r="AT340" s="726"/>
      <c r="AU340" s="726"/>
      <c r="AV340" s="726"/>
      <c r="AW340" s="726"/>
      <c r="AX340" s="726"/>
      <c r="AY340" s="726"/>
      <c r="AZ340" s="726"/>
      <c r="BA340" s="726"/>
      <c r="BB340" s="726"/>
      <c r="BC340" s="726"/>
      <c r="BD340" s="726"/>
      <c r="BE340" s="726"/>
      <c r="BF340" s="726"/>
      <c r="BG340" s="726"/>
    </row>
    <row r="341" spans="1:59" x14ac:dyDescent="0.25">
      <c r="A341" s="28" t="s">
        <v>604</v>
      </c>
      <c r="B341" s="722">
        <v>13593</v>
      </c>
      <c r="C341" s="725">
        <f t="shared" si="6"/>
        <v>848.58326811153358</v>
      </c>
      <c r="D341" s="92"/>
      <c r="E341" s="726"/>
      <c r="F341" s="726"/>
      <c r="G341" s="726"/>
      <c r="H341" s="726"/>
      <c r="I341" s="745"/>
      <c r="K341" s="726"/>
      <c r="L341" s="726"/>
      <c r="M341" s="726"/>
      <c r="N341" s="726"/>
      <c r="O341" s="726"/>
      <c r="P341" s="726"/>
      <c r="Q341" s="726"/>
      <c r="R341" s="726"/>
      <c r="S341" s="726"/>
      <c r="T341" s="726"/>
      <c r="U341" s="726"/>
      <c r="V341" s="726"/>
      <c r="W341" s="726"/>
      <c r="X341" s="726"/>
      <c r="Y341" s="726"/>
      <c r="Z341" s="726"/>
      <c r="AA341" s="726"/>
      <c r="AB341" s="726"/>
      <c r="AC341" s="726"/>
      <c r="AD341" s="726"/>
      <c r="AE341" s="726"/>
      <c r="AF341" s="726"/>
      <c r="AG341" s="726"/>
      <c r="AH341" s="726"/>
      <c r="AI341" s="726"/>
      <c r="AJ341" s="726"/>
      <c r="AK341" s="726"/>
      <c r="AL341" s="726"/>
      <c r="AM341" s="726"/>
      <c r="AN341" s="726"/>
      <c r="AO341" s="726"/>
      <c r="AP341" s="726"/>
      <c r="AQ341" s="726"/>
      <c r="AR341" s="726"/>
      <c r="AS341" s="726"/>
      <c r="AT341" s="726"/>
      <c r="AU341" s="726"/>
      <c r="AV341" s="726"/>
      <c r="AW341" s="726"/>
      <c r="AX341" s="726"/>
      <c r="AY341" s="726"/>
      <c r="AZ341" s="726"/>
      <c r="BA341" s="726"/>
      <c r="BB341" s="726"/>
      <c r="BC341" s="726"/>
      <c r="BD341" s="726"/>
      <c r="BE341" s="726"/>
      <c r="BF341" s="726"/>
      <c r="BG341" s="726"/>
    </row>
    <row r="342" spans="1:59" x14ac:dyDescent="0.25">
      <c r="A342" s="28" t="s">
        <v>605</v>
      </c>
      <c r="B342" s="722">
        <v>10188</v>
      </c>
      <c r="C342" s="725">
        <f t="shared" si="6"/>
        <v>636.01606234976123</v>
      </c>
      <c r="D342" s="92"/>
      <c r="E342" s="726"/>
      <c r="F342" s="726"/>
      <c r="G342" s="726"/>
      <c r="H342" s="726"/>
      <c r="I342" s="745"/>
      <c r="K342" s="726"/>
      <c r="L342" s="726"/>
      <c r="M342" s="726"/>
      <c r="N342" s="726"/>
      <c r="O342" s="726"/>
      <c r="P342" s="726"/>
      <c r="Q342" s="726"/>
      <c r="R342" s="726"/>
      <c r="S342" s="726"/>
      <c r="T342" s="726"/>
      <c r="U342" s="726"/>
      <c r="V342" s="726"/>
      <c r="W342" s="726"/>
      <c r="X342" s="726"/>
      <c r="Y342" s="726"/>
      <c r="Z342" s="726"/>
      <c r="AA342" s="726"/>
      <c r="AB342" s="726"/>
      <c r="AC342" s="726"/>
      <c r="AD342" s="726"/>
      <c r="AE342" s="726"/>
      <c r="AF342" s="726"/>
      <c r="AG342" s="726"/>
      <c r="AH342" s="726"/>
      <c r="AI342" s="726"/>
      <c r="AJ342" s="726"/>
      <c r="AK342" s="726"/>
      <c r="AL342" s="726"/>
      <c r="AM342" s="726"/>
      <c r="AN342" s="726"/>
      <c r="AO342" s="726"/>
      <c r="AP342" s="726"/>
      <c r="AQ342" s="726"/>
      <c r="AR342" s="726"/>
      <c r="AS342" s="726"/>
      <c r="AT342" s="726"/>
      <c r="AU342" s="726"/>
      <c r="AV342" s="726"/>
      <c r="AW342" s="726"/>
      <c r="AX342" s="726"/>
      <c r="AY342" s="726"/>
      <c r="AZ342" s="726"/>
      <c r="BA342" s="726"/>
      <c r="BB342" s="726"/>
      <c r="BC342" s="726"/>
      <c r="BD342" s="726"/>
      <c r="BE342" s="726"/>
      <c r="BF342" s="726"/>
      <c r="BG342" s="726"/>
    </row>
    <row r="343" spans="1:59" x14ac:dyDescent="0.25">
      <c r="A343" s="28" t="s">
        <v>606</v>
      </c>
      <c r="B343" s="722">
        <v>8600</v>
      </c>
      <c r="C343" s="725">
        <f t="shared" si="6"/>
        <v>536.88046095484356</v>
      </c>
      <c r="D343" s="92"/>
      <c r="E343" s="726"/>
      <c r="F343" s="726"/>
      <c r="G343" s="726"/>
      <c r="H343" s="726"/>
      <c r="I343" s="745"/>
      <c r="K343" s="726"/>
      <c r="L343" s="726"/>
      <c r="M343" s="726"/>
      <c r="N343" s="726"/>
      <c r="O343" s="726"/>
      <c r="P343" s="726"/>
      <c r="Q343" s="726"/>
      <c r="R343" s="726"/>
      <c r="S343" s="726"/>
      <c r="T343" s="726"/>
      <c r="U343" s="726"/>
      <c r="V343" s="726"/>
      <c r="W343" s="726"/>
      <c r="X343" s="726"/>
      <c r="Y343" s="726"/>
      <c r="Z343" s="726"/>
      <c r="AA343" s="726"/>
      <c r="AB343" s="726"/>
      <c r="AC343" s="726"/>
      <c r="AD343" s="726"/>
      <c r="AE343" s="726"/>
      <c r="AF343" s="726"/>
      <c r="AG343" s="726"/>
      <c r="AH343" s="726"/>
      <c r="AI343" s="726"/>
      <c r="AJ343" s="726"/>
      <c r="AK343" s="726"/>
      <c r="AL343" s="726"/>
      <c r="AM343" s="726"/>
      <c r="AN343" s="726"/>
      <c r="AO343" s="726"/>
      <c r="AP343" s="726"/>
      <c r="AQ343" s="726"/>
      <c r="AR343" s="726"/>
      <c r="AS343" s="726"/>
      <c r="AT343" s="726"/>
      <c r="AU343" s="726"/>
      <c r="AV343" s="726"/>
      <c r="AW343" s="726"/>
      <c r="AX343" s="726"/>
      <c r="AY343" s="726"/>
      <c r="AZ343" s="726"/>
      <c r="BA343" s="726"/>
      <c r="BB343" s="726"/>
      <c r="BC343" s="726"/>
      <c r="BD343" s="726"/>
      <c r="BE343" s="726"/>
      <c r="BF343" s="726"/>
      <c r="BG343" s="726"/>
    </row>
    <row r="344" spans="1:59" x14ac:dyDescent="0.25">
      <c r="A344" s="28" t="s">
        <v>607</v>
      </c>
      <c r="B344" s="722">
        <v>8800</v>
      </c>
      <c r="C344" s="725">
        <f t="shared" si="6"/>
        <v>549.36605307007255</v>
      </c>
      <c r="D344" s="92"/>
      <c r="E344" s="726"/>
      <c r="F344" s="726"/>
      <c r="G344" s="726"/>
      <c r="H344" s="726"/>
      <c r="I344" s="745"/>
      <c r="K344" s="726"/>
      <c r="L344" s="726"/>
      <c r="M344" s="726"/>
      <c r="N344" s="726"/>
      <c r="O344" s="726"/>
      <c r="P344" s="726"/>
      <c r="Q344" s="726"/>
      <c r="R344" s="726"/>
      <c r="S344" s="726"/>
      <c r="T344" s="726"/>
      <c r="U344" s="726"/>
      <c r="V344" s="726"/>
      <c r="W344" s="726"/>
      <c r="X344" s="726"/>
      <c r="Y344" s="726"/>
      <c r="Z344" s="726"/>
      <c r="AA344" s="726"/>
      <c r="AB344" s="726"/>
      <c r="AC344" s="726"/>
      <c r="AD344" s="726"/>
      <c r="AE344" s="726"/>
      <c r="AF344" s="726"/>
      <c r="AG344" s="726"/>
      <c r="AH344" s="726"/>
      <c r="AI344" s="726"/>
      <c r="AJ344" s="726"/>
      <c r="AK344" s="726"/>
      <c r="AL344" s="726"/>
      <c r="AM344" s="726"/>
      <c r="AN344" s="726"/>
      <c r="AO344" s="726"/>
      <c r="AP344" s="726"/>
      <c r="AQ344" s="726"/>
      <c r="AR344" s="726"/>
      <c r="AS344" s="726"/>
      <c r="AT344" s="726"/>
      <c r="AU344" s="726"/>
      <c r="AV344" s="726"/>
      <c r="AW344" s="726"/>
      <c r="AX344" s="726"/>
      <c r="AY344" s="726"/>
      <c r="AZ344" s="726"/>
      <c r="BA344" s="726"/>
      <c r="BB344" s="726"/>
      <c r="BC344" s="726"/>
      <c r="BD344" s="726"/>
      <c r="BE344" s="726"/>
      <c r="BF344" s="726"/>
      <c r="BG344" s="726"/>
    </row>
    <row r="345" spans="1:59" x14ac:dyDescent="0.25">
      <c r="A345" s="28" t="s">
        <v>608</v>
      </c>
      <c r="B345" s="722">
        <v>8650</v>
      </c>
      <c r="C345" s="725">
        <f t="shared" si="6"/>
        <v>540.00185898365078</v>
      </c>
      <c r="D345" s="92"/>
      <c r="E345" s="726"/>
      <c r="F345" s="726"/>
      <c r="G345" s="726"/>
      <c r="H345" s="726"/>
      <c r="I345" s="745"/>
      <c r="K345" s="726"/>
      <c r="L345" s="726"/>
      <c r="M345" s="726"/>
      <c r="N345" s="726"/>
      <c r="O345" s="726"/>
      <c r="P345" s="726"/>
      <c r="Q345" s="726"/>
      <c r="R345" s="726"/>
      <c r="S345" s="726"/>
      <c r="T345" s="726"/>
      <c r="U345" s="726"/>
      <c r="V345" s="726"/>
      <c r="W345" s="726"/>
      <c r="X345" s="726"/>
      <c r="Y345" s="726"/>
      <c r="Z345" s="726"/>
      <c r="AA345" s="726"/>
      <c r="AB345" s="726"/>
      <c r="AC345" s="726"/>
      <c r="AD345" s="726"/>
      <c r="AE345" s="726"/>
      <c r="AF345" s="726"/>
      <c r="AG345" s="726"/>
      <c r="AH345" s="726"/>
      <c r="AI345" s="726"/>
      <c r="AJ345" s="726"/>
      <c r="AK345" s="726"/>
      <c r="AL345" s="726"/>
      <c r="AM345" s="726"/>
      <c r="AN345" s="726"/>
      <c r="AO345" s="726"/>
      <c r="AP345" s="726"/>
      <c r="AQ345" s="726"/>
      <c r="AR345" s="726"/>
      <c r="AS345" s="726"/>
      <c r="AT345" s="726"/>
      <c r="AU345" s="726"/>
      <c r="AV345" s="726"/>
      <c r="AW345" s="726"/>
      <c r="AX345" s="726"/>
      <c r="AY345" s="726"/>
      <c r="AZ345" s="726"/>
      <c r="BA345" s="726"/>
      <c r="BB345" s="726"/>
      <c r="BC345" s="726"/>
      <c r="BD345" s="726"/>
      <c r="BE345" s="726"/>
      <c r="BF345" s="726"/>
      <c r="BG345" s="726"/>
    </row>
    <row r="346" spans="1:59" x14ac:dyDescent="0.25">
      <c r="A346" s="28" t="s">
        <v>609</v>
      </c>
      <c r="B346" s="722">
        <v>21400</v>
      </c>
      <c r="C346" s="725">
        <f t="shared" si="6"/>
        <v>1335.9583563294946</v>
      </c>
      <c r="D346" s="92"/>
      <c r="E346" s="726"/>
      <c r="F346" s="726"/>
      <c r="G346" s="726"/>
      <c r="H346" s="726"/>
      <c r="I346" s="745"/>
      <c r="K346" s="726"/>
      <c r="L346" s="726"/>
      <c r="M346" s="726"/>
      <c r="N346" s="726"/>
      <c r="O346" s="726"/>
      <c r="P346" s="726"/>
      <c r="Q346" s="726"/>
      <c r="R346" s="726"/>
      <c r="S346" s="726"/>
      <c r="T346" s="726"/>
      <c r="U346" s="726"/>
      <c r="V346" s="726"/>
      <c r="W346" s="726"/>
      <c r="X346" s="726"/>
      <c r="Y346" s="726"/>
      <c r="Z346" s="726"/>
      <c r="AA346" s="726"/>
      <c r="AB346" s="726"/>
      <c r="AC346" s="726"/>
      <c r="AD346" s="726"/>
      <c r="AE346" s="726"/>
      <c r="AF346" s="726"/>
      <c r="AG346" s="726"/>
      <c r="AH346" s="726"/>
      <c r="AI346" s="726"/>
      <c r="AJ346" s="726"/>
      <c r="AK346" s="726"/>
      <c r="AL346" s="726"/>
      <c r="AM346" s="726"/>
      <c r="AN346" s="726"/>
      <c r="AO346" s="726"/>
      <c r="AP346" s="726"/>
      <c r="AQ346" s="726"/>
      <c r="AR346" s="726"/>
      <c r="AS346" s="726"/>
      <c r="AT346" s="726"/>
      <c r="AU346" s="726"/>
      <c r="AV346" s="726"/>
      <c r="AW346" s="726"/>
      <c r="AX346" s="726"/>
      <c r="AY346" s="726"/>
      <c r="AZ346" s="726"/>
      <c r="BA346" s="726"/>
      <c r="BB346" s="726"/>
      <c r="BC346" s="726"/>
      <c r="BD346" s="726"/>
      <c r="BE346" s="726"/>
      <c r="BF346" s="726"/>
      <c r="BG346" s="726"/>
    </row>
    <row r="347" spans="1:59" x14ac:dyDescent="0.25">
      <c r="A347" s="28" t="s">
        <v>610</v>
      </c>
      <c r="B347" s="722">
        <v>19800</v>
      </c>
      <c r="C347" s="725">
        <f t="shared" si="6"/>
        <v>1236.073619407663</v>
      </c>
      <c r="D347" s="92"/>
      <c r="E347" s="726"/>
      <c r="F347" s="726"/>
      <c r="G347" s="726"/>
      <c r="H347" s="726"/>
      <c r="I347" s="745"/>
      <c r="K347" s="726"/>
      <c r="L347" s="726"/>
      <c r="M347" s="726"/>
      <c r="N347" s="726"/>
      <c r="O347" s="726"/>
      <c r="P347" s="726"/>
      <c r="Q347" s="726"/>
      <c r="R347" s="726"/>
      <c r="S347" s="726"/>
      <c r="T347" s="726"/>
      <c r="U347" s="726"/>
      <c r="V347" s="726"/>
      <c r="W347" s="726"/>
      <c r="X347" s="726"/>
      <c r="Y347" s="726"/>
      <c r="Z347" s="726"/>
      <c r="AA347" s="726"/>
      <c r="AB347" s="726"/>
      <c r="AC347" s="726"/>
      <c r="AD347" s="726"/>
      <c r="AE347" s="726"/>
      <c r="AF347" s="726"/>
      <c r="AG347" s="726"/>
      <c r="AH347" s="726"/>
      <c r="AI347" s="726"/>
      <c r="AJ347" s="726"/>
      <c r="AK347" s="726"/>
      <c r="AL347" s="726"/>
      <c r="AM347" s="726"/>
      <c r="AN347" s="726"/>
      <c r="AO347" s="726"/>
      <c r="AP347" s="726"/>
      <c r="AQ347" s="726"/>
      <c r="AR347" s="726"/>
      <c r="AS347" s="726"/>
      <c r="AT347" s="726"/>
      <c r="AU347" s="726"/>
      <c r="AV347" s="726"/>
      <c r="AW347" s="726"/>
      <c r="AX347" s="726"/>
      <c r="AY347" s="726"/>
      <c r="AZ347" s="726"/>
      <c r="BA347" s="726"/>
      <c r="BB347" s="726"/>
      <c r="BC347" s="726"/>
      <c r="BD347" s="726"/>
      <c r="BE347" s="726"/>
      <c r="BF347" s="726"/>
      <c r="BG347" s="726"/>
    </row>
    <row r="348" spans="1:59" x14ac:dyDescent="0.25">
      <c r="A348" s="28" t="s">
        <v>611</v>
      </c>
      <c r="B348" s="722">
        <v>10490</v>
      </c>
      <c r="C348" s="725">
        <f t="shared" si="6"/>
        <v>654.86930644375695</v>
      </c>
      <c r="D348" s="92"/>
      <c r="E348" s="726"/>
      <c r="F348" s="726"/>
      <c r="G348" s="726"/>
      <c r="H348" s="726"/>
      <c r="I348" s="745"/>
      <c r="K348" s="726"/>
      <c r="L348" s="726"/>
      <c r="M348" s="726"/>
      <c r="N348" s="726"/>
      <c r="O348" s="726"/>
      <c r="P348" s="726"/>
      <c r="Q348" s="726"/>
      <c r="R348" s="726"/>
      <c r="S348" s="726"/>
      <c r="T348" s="726"/>
      <c r="U348" s="726"/>
      <c r="V348" s="726"/>
      <c r="W348" s="726"/>
      <c r="X348" s="726"/>
      <c r="Y348" s="726"/>
      <c r="Z348" s="726"/>
      <c r="AA348" s="726"/>
      <c r="AB348" s="726"/>
      <c r="AC348" s="726"/>
      <c r="AD348" s="726"/>
      <c r="AE348" s="726"/>
      <c r="AF348" s="726"/>
      <c r="AG348" s="726"/>
      <c r="AH348" s="726"/>
      <c r="AI348" s="726"/>
      <c r="AJ348" s="726"/>
      <c r="AK348" s="726"/>
      <c r="AL348" s="726"/>
      <c r="AM348" s="726"/>
      <c r="AN348" s="726"/>
      <c r="AO348" s="726"/>
      <c r="AP348" s="726"/>
      <c r="AQ348" s="726"/>
      <c r="AR348" s="726"/>
      <c r="AS348" s="726"/>
      <c r="AT348" s="726"/>
      <c r="AU348" s="726"/>
      <c r="AV348" s="726"/>
      <c r="AW348" s="726"/>
      <c r="AX348" s="726"/>
      <c r="AY348" s="726"/>
      <c r="AZ348" s="726"/>
      <c r="BA348" s="726"/>
      <c r="BB348" s="726"/>
      <c r="BC348" s="726"/>
      <c r="BD348" s="726"/>
      <c r="BE348" s="726"/>
      <c r="BF348" s="726"/>
      <c r="BG348" s="726"/>
    </row>
    <row r="349" spans="1:59" x14ac:dyDescent="0.25">
      <c r="A349" s="28" t="s">
        <v>612</v>
      </c>
      <c r="B349" s="722">
        <v>7850</v>
      </c>
      <c r="C349" s="725">
        <f t="shared" si="6"/>
        <v>490.05949052273513</v>
      </c>
      <c r="D349" s="92"/>
      <c r="E349" s="726"/>
      <c r="F349" s="726"/>
      <c r="G349" s="726"/>
      <c r="H349" s="726"/>
      <c r="I349" s="745"/>
      <c r="K349" s="726"/>
      <c r="L349" s="726"/>
      <c r="M349" s="726"/>
      <c r="N349" s="726"/>
      <c r="O349" s="726"/>
      <c r="P349" s="726"/>
      <c r="Q349" s="726"/>
      <c r="R349" s="726"/>
      <c r="S349" s="726"/>
      <c r="T349" s="726"/>
      <c r="U349" s="726"/>
      <c r="V349" s="726"/>
      <c r="W349" s="726"/>
      <c r="X349" s="726"/>
      <c r="Y349" s="726"/>
      <c r="Z349" s="726"/>
      <c r="AA349" s="726"/>
      <c r="AB349" s="726"/>
      <c r="AC349" s="726"/>
      <c r="AD349" s="726"/>
      <c r="AE349" s="726"/>
      <c r="AF349" s="726"/>
      <c r="AG349" s="726"/>
      <c r="AH349" s="726"/>
      <c r="AI349" s="726"/>
      <c r="AJ349" s="726"/>
      <c r="AK349" s="726"/>
      <c r="AL349" s="726"/>
      <c r="AM349" s="726"/>
      <c r="AN349" s="726"/>
      <c r="AO349" s="726"/>
      <c r="AP349" s="726"/>
      <c r="AQ349" s="726"/>
      <c r="AR349" s="726"/>
      <c r="AS349" s="726"/>
      <c r="AT349" s="726"/>
      <c r="AU349" s="726"/>
      <c r="AV349" s="726"/>
      <c r="AW349" s="726"/>
      <c r="AX349" s="726"/>
      <c r="AY349" s="726"/>
      <c r="AZ349" s="726"/>
      <c r="BA349" s="726"/>
      <c r="BB349" s="726"/>
      <c r="BC349" s="726"/>
      <c r="BD349" s="726"/>
      <c r="BE349" s="726"/>
      <c r="BF349" s="726"/>
      <c r="BG349" s="726"/>
    </row>
    <row r="350" spans="1:59" x14ac:dyDescent="0.25">
      <c r="A350" s="28" t="s">
        <v>613</v>
      </c>
      <c r="B350" s="722">
        <v>7740</v>
      </c>
      <c r="C350" s="725">
        <f t="shared" si="6"/>
        <v>483.19241485935925</v>
      </c>
      <c r="D350" s="92"/>
      <c r="E350" s="726"/>
      <c r="F350" s="726"/>
      <c r="G350" s="726"/>
      <c r="H350" s="726"/>
      <c r="I350" s="745"/>
      <c r="K350" s="726"/>
      <c r="L350" s="726"/>
      <c r="M350" s="726"/>
      <c r="N350" s="726"/>
      <c r="O350" s="726"/>
      <c r="P350" s="726"/>
      <c r="Q350" s="726"/>
      <c r="R350" s="726"/>
      <c r="S350" s="726"/>
      <c r="T350" s="726"/>
      <c r="U350" s="726"/>
      <c r="V350" s="726"/>
      <c r="W350" s="726"/>
      <c r="X350" s="726"/>
      <c r="Y350" s="726"/>
      <c r="Z350" s="726"/>
      <c r="AA350" s="726"/>
      <c r="AB350" s="726"/>
      <c r="AC350" s="726"/>
      <c r="AD350" s="726"/>
      <c r="AE350" s="726"/>
      <c r="AF350" s="726"/>
      <c r="AG350" s="726"/>
      <c r="AH350" s="726"/>
      <c r="AI350" s="726"/>
      <c r="AJ350" s="726"/>
      <c r="AK350" s="726"/>
      <c r="AL350" s="726"/>
      <c r="AM350" s="726"/>
      <c r="AN350" s="726"/>
      <c r="AO350" s="726"/>
      <c r="AP350" s="726"/>
      <c r="AQ350" s="726"/>
      <c r="AR350" s="726"/>
      <c r="AS350" s="726"/>
      <c r="AT350" s="726"/>
      <c r="AU350" s="726"/>
      <c r="AV350" s="726"/>
      <c r="AW350" s="726"/>
      <c r="AX350" s="726"/>
      <c r="AY350" s="726"/>
      <c r="AZ350" s="726"/>
      <c r="BA350" s="726"/>
      <c r="BB350" s="726"/>
      <c r="BC350" s="726"/>
      <c r="BD350" s="726"/>
      <c r="BE350" s="726"/>
      <c r="BF350" s="726"/>
      <c r="BG350" s="726"/>
    </row>
    <row r="351" spans="1:59" x14ac:dyDescent="0.25">
      <c r="A351" s="28" t="s">
        <v>614</v>
      </c>
      <c r="B351" s="722">
        <v>7280</v>
      </c>
      <c r="C351" s="725">
        <f t="shared" si="6"/>
        <v>454.4755529943327</v>
      </c>
    </row>
    <row r="352" spans="1:59" x14ac:dyDescent="0.25">
      <c r="A352" s="28" t="s">
        <v>615</v>
      </c>
      <c r="B352" s="722">
        <v>4500</v>
      </c>
      <c r="C352" s="725">
        <f t="shared" si="6"/>
        <v>280.92582259265072</v>
      </c>
    </row>
    <row r="353" spans="1:3" x14ac:dyDescent="0.25">
      <c r="A353" s="28" t="s">
        <v>616</v>
      </c>
      <c r="B353" s="722">
        <v>19600</v>
      </c>
      <c r="C353" s="725">
        <f t="shared" si="6"/>
        <v>1223.5880272924342</v>
      </c>
    </row>
    <row r="354" spans="1:3" x14ac:dyDescent="0.25">
      <c r="A354" s="28" t="s">
        <v>617</v>
      </c>
      <c r="B354" s="722">
        <v>18900</v>
      </c>
      <c r="C354" s="725">
        <f t="shared" si="6"/>
        <v>1179.8884548891331</v>
      </c>
    </row>
    <row r="355" spans="1:3" x14ac:dyDescent="0.25">
      <c r="A355" s="28" t="s">
        <v>618</v>
      </c>
      <c r="B355" s="722">
        <v>5494</v>
      </c>
      <c r="C355" s="725">
        <f t="shared" si="6"/>
        <v>342.97921540533844</v>
      </c>
    </row>
    <row r="356" spans="1:3" x14ac:dyDescent="0.25">
      <c r="A356" s="28" t="s">
        <v>619</v>
      </c>
      <c r="B356" s="722">
        <v>7100</v>
      </c>
      <c r="C356" s="725">
        <f t="shared" si="6"/>
        <v>443.23852009062665</v>
      </c>
    </row>
    <row r="357" spans="1:3" x14ac:dyDescent="0.25">
      <c r="A357" s="28" t="s">
        <v>620</v>
      </c>
      <c r="B357" s="722">
        <v>7135</v>
      </c>
      <c r="C357" s="725">
        <f t="shared" si="6"/>
        <v>445.42349871079176</v>
      </c>
    </row>
    <row r="359" spans="1:3" x14ac:dyDescent="0.25">
      <c r="A359" s="28" t="s">
        <v>867</v>
      </c>
      <c r="B359" s="722">
        <v>2101.4</v>
      </c>
      <c r="C359" s="725">
        <f t="shared" si="6"/>
        <v>131.18611635471026</v>
      </c>
    </row>
    <row r="361" spans="1:3" x14ac:dyDescent="0.25">
      <c r="A361" s="28" t="s">
        <v>1535</v>
      </c>
      <c r="B361" s="722">
        <v>160</v>
      </c>
      <c r="C361" s="725">
        <f t="shared" si="6"/>
        <v>9.9884736921831365</v>
      </c>
    </row>
    <row r="362" spans="1:3" x14ac:dyDescent="0.25">
      <c r="A362" s="28" t="s">
        <v>1595</v>
      </c>
      <c r="B362" s="722">
        <v>96.5</v>
      </c>
      <c r="C362" s="725">
        <f t="shared" ref="C362" si="7">(B362*(2.20462262184877))/35.3146667214885</f>
        <v>6.0242981955979538</v>
      </c>
    </row>
  </sheetData>
  <pageMargins left="0.7" right="0.7" top="0.75" bottom="0.75" header="0.3" footer="0.3"/>
  <pageSetup paperSize="9" orientation="portrait" horizontalDpi="4294967292" verticalDpi="1200"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9"/>
  <sheetViews>
    <sheetView workbookViewId="0">
      <selection activeCell="E14" sqref="E14:F18"/>
    </sheetView>
  </sheetViews>
  <sheetFormatPr defaultRowHeight="12.5" x14ac:dyDescent="0.25"/>
  <cols>
    <col min="1" max="1" width="14" bestFit="1" customWidth="1"/>
    <col min="2" max="2" width="2.08984375" bestFit="1" customWidth="1"/>
    <col min="3" max="3" width="16.6328125" bestFit="1" customWidth="1"/>
    <col min="4" max="4" width="2.08984375" bestFit="1" customWidth="1"/>
    <col min="5" max="5" width="18.453125" bestFit="1" customWidth="1"/>
    <col min="6" max="6" width="2.08984375" bestFit="1" customWidth="1"/>
    <col min="7" max="7" width="16.90625" bestFit="1" customWidth="1"/>
    <col min="8" max="8" width="2.08984375" bestFit="1" customWidth="1"/>
    <col min="9" max="9" width="16.90625" bestFit="1" customWidth="1"/>
    <col min="10" max="10" width="2.08984375" bestFit="1" customWidth="1"/>
    <col min="11" max="11" width="26.90625" bestFit="1" customWidth="1"/>
    <col min="12" max="12" width="2.08984375" bestFit="1" customWidth="1"/>
    <col min="13" max="13" width="28.54296875" bestFit="1" customWidth="1"/>
    <col min="14" max="14" width="2.08984375" bestFit="1" customWidth="1"/>
    <col min="15" max="15" width="31" bestFit="1" customWidth="1"/>
    <col min="16" max="16" width="2.08984375" bestFit="1" customWidth="1"/>
    <col min="17" max="17" width="30.6328125" bestFit="1" customWidth="1"/>
    <col min="18" max="18" width="2.08984375" bestFit="1" customWidth="1"/>
    <col min="19" max="19" width="28.08984375" bestFit="1" customWidth="1"/>
    <col min="20" max="20" width="2.08984375" bestFit="1" customWidth="1"/>
    <col min="21" max="21" width="31.08984375" bestFit="1" customWidth="1"/>
    <col min="22" max="22" width="2.08984375" bestFit="1" customWidth="1"/>
    <col min="23" max="23" width="19.54296875" bestFit="1" customWidth="1"/>
    <col min="24" max="24" width="2.08984375" bestFit="1" customWidth="1"/>
    <col min="25" max="25" width="23" bestFit="1" customWidth="1"/>
    <col min="26" max="26" width="2.08984375" bestFit="1" customWidth="1"/>
    <col min="27" max="27" width="17.54296875" bestFit="1" customWidth="1"/>
    <col min="28" max="28" width="2.08984375" bestFit="1" customWidth="1"/>
    <col min="29" max="29" width="20.6328125" bestFit="1" customWidth="1"/>
    <col min="30" max="30" width="2.08984375" bestFit="1" customWidth="1"/>
    <col min="31" max="31" width="11.453125" bestFit="1" customWidth="1"/>
    <col min="32" max="32" width="2.08984375" bestFit="1" customWidth="1"/>
    <col min="33" max="33" width="24.36328125" bestFit="1" customWidth="1"/>
    <col min="34" max="34" width="2.08984375" bestFit="1" customWidth="1"/>
  </cols>
  <sheetData>
    <row r="1" spans="1:34" x14ac:dyDescent="0.25">
      <c r="A1" t="s">
        <v>472</v>
      </c>
    </row>
    <row r="2" spans="1:34" ht="16.5" x14ac:dyDescent="0.25">
      <c r="A2" s="27" t="s">
        <v>475</v>
      </c>
      <c r="B2" s="11" t="s">
        <v>473</v>
      </c>
      <c r="C2" t="s">
        <v>474</v>
      </c>
      <c r="D2" s="11" t="s">
        <v>473</v>
      </c>
      <c r="E2" s="11" t="s">
        <v>483</v>
      </c>
      <c r="F2" s="11" t="s">
        <v>473</v>
      </c>
      <c r="G2" s="11" t="s">
        <v>484</v>
      </c>
      <c r="H2" s="11" t="s">
        <v>473</v>
      </c>
      <c r="I2" s="11" t="s">
        <v>485</v>
      </c>
      <c r="J2" s="11" t="s">
        <v>473</v>
      </c>
      <c r="K2" s="11" t="s">
        <v>486</v>
      </c>
      <c r="L2" s="11" t="s">
        <v>473</v>
      </c>
      <c r="M2" s="11" t="s">
        <v>487</v>
      </c>
      <c r="N2" s="11" t="s">
        <v>473</v>
      </c>
      <c r="O2" s="11" t="s">
        <v>488</v>
      </c>
      <c r="P2" s="11" t="s">
        <v>473</v>
      </c>
      <c r="Q2" s="11" t="s">
        <v>489</v>
      </c>
      <c r="R2" s="11" t="s">
        <v>473</v>
      </c>
      <c r="S2" s="11" t="s">
        <v>490</v>
      </c>
      <c r="T2" s="11" t="s">
        <v>473</v>
      </c>
      <c r="U2" t="s">
        <v>491</v>
      </c>
      <c r="V2" s="11" t="s">
        <v>473</v>
      </c>
      <c r="X2" s="11" t="s">
        <v>473</v>
      </c>
      <c r="Z2" s="11" t="s">
        <v>473</v>
      </c>
      <c r="AB2" s="11" t="s">
        <v>473</v>
      </c>
      <c r="AD2" s="11" t="s">
        <v>473</v>
      </c>
      <c r="AF2" s="11" t="s">
        <v>473</v>
      </c>
      <c r="AH2" s="11"/>
    </row>
    <row r="3" spans="1:34" ht="14" x14ac:dyDescent="0.25">
      <c r="A3" s="27" t="s">
        <v>474</v>
      </c>
      <c r="B3" s="11" t="s">
        <v>473</v>
      </c>
      <c r="C3" s="11" t="s">
        <v>492</v>
      </c>
      <c r="D3" s="11" t="s">
        <v>473</v>
      </c>
      <c r="E3" s="11" t="s">
        <v>493</v>
      </c>
      <c r="F3" s="11" t="s">
        <v>473</v>
      </c>
      <c r="G3" s="11" t="s">
        <v>494</v>
      </c>
      <c r="H3" s="11" t="s">
        <v>473</v>
      </c>
      <c r="I3" s="11" t="s">
        <v>495</v>
      </c>
      <c r="J3" s="11" t="s">
        <v>473</v>
      </c>
      <c r="K3" s="11" t="s">
        <v>496</v>
      </c>
      <c r="L3" s="11" t="s">
        <v>473</v>
      </c>
      <c r="M3" t="s">
        <v>497</v>
      </c>
      <c r="N3" s="11" t="s">
        <v>473</v>
      </c>
      <c r="P3" s="11" t="s">
        <v>473</v>
      </c>
      <c r="R3" s="11" t="s">
        <v>473</v>
      </c>
      <c r="T3" s="11" t="s">
        <v>473</v>
      </c>
      <c r="V3" s="11" t="s">
        <v>473</v>
      </c>
      <c r="X3" s="11" t="s">
        <v>473</v>
      </c>
      <c r="Z3" s="11" t="s">
        <v>473</v>
      </c>
      <c r="AB3" s="11" t="s">
        <v>473</v>
      </c>
      <c r="AD3" s="11" t="s">
        <v>473</v>
      </c>
      <c r="AF3" s="11" t="s">
        <v>473</v>
      </c>
      <c r="AH3" s="11"/>
    </row>
    <row r="4" spans="1:34" ht="16.5" x14ac:dyDescent="0.25">
      <c r="A4" s="27" t="s">
        <v>476</v>
      </c>
      <c r="B4" s="11" t="s">
        <v>473</v>
      </c>
      <c r="C4" s="11" t="s">
        <v>498</v>
      </c>
      <c r="D4" s="11" t="s">
        <v>473</v>
      </c>
      <c r="E4" s="11" t="s">
        <v>500</v>
      </c>
      <c r="F4" s="11" t="s">
        <v>473</v>
      </c>
      <c r="G4" s="11" t="s">
        <v>499</v>
      </c>
      <c r="H4" s="11" t="s">
        <v>473</v>
      </c>
      <c r="I4" s="11" t="s">
        <v>503</v>
      </c>
      <c r="J4" s="11" t="s">
        <v>473</v>
      </c>
      <c r="K4" s="11" t="s">
        <v>502</v>
      </c>
      <c r="L4" s="11" t="s">
        <v>473</v>
      </c>
      <c r="M4" t="s">
        <v>501</v>
      </c>
      <c r="N4" s="11" t="s">
        <v>473</v>
      </c>
      <c r="P4" s="11" t="s">
        <v>473</v>
      </c>
      <c r="R4" s="11" t="s">
        <v>473</v>
      </c>
      <c r="T4" s="11" t="s">
        <v>473</v>
      </c>
      <c r="V4" s="11" t="s">
        <v>473</v>
      </c>
      <c r="X4" s="11" t="s">
        <v>473</v>
      </c>
      <c r="Z4" s="11" t="s">
        <v>473</v>
      </c>
      <c r="AB4" s="11" t="s">
        <v>473</v>
      </c>
      <c r="AD4" s="11" t="s">
        <v>473</v>
      </c>
      <c r="AF4" s="11" t="s">
        <v>473</v>
      </c>
      <c r="AH4" s="11"/>
    </row>
    <row r="5" spans="1:34" ht="14" x14ac:dyDescent="0.25">
      <c r="A5" s="27" t="s">
        <v>478</v>
      </c>
      <c r="B5" s="11" t="s">
        <v>473</v>
      </c>
      <c r="C5" s="11" t="s">
        <v>505</v>
      </c>
      <c r="D5" s="11" t="s">
        <v>473</v>
      </c>
      <c r="E5" t="s">
        <v>504</v>
      </c>
      <c r="F5" s="11" t="s">
        <v>473</v>
      </c>
      <c r="H5" s="11" t="s">
        <v>473</v>
      </c>
      <c r="J5" s="11" t="s">
        <v>473</v>
      </c>
      <c r="L5" s="11" t="s">
        <v>473</v>
      </c>
      <c r="N5" s="11" t="s">
        <v>473</v>
      </c>
      <c r="P5" s="11" t="s">
        <v>473</v>
      </c>
      <c r="R5" s="11" t="s">
        <v>473</v>
      </c>
      <c r="T5" s="11" t="s">
        <v>473</v>
      </c>
      <c r="V5" s="11" t="s">
        <v>473</v>
      </c>
      <c r="X5" s="11" t="s">
        <v>473</v>
      </c>
      <c r="Z5" s="11" t="s">
        <v>473</v>
      </c>
      <c r="AB5" s="11" t="s">
        <v>473</v>
      </c>
      <c r="AD5" s="11" t="s">
        <v>473</v>
      </c>
      <c r="AF5" s="11" t="s">
        <v>473</v>
      </c>
      <c r="AH5" s="11"/>
    </row>
    <row r="6" spans="1:34" ht="14" x14ac:dyDescent="0.25">
      <c r="A6" s="27" t="s">
        <v>477</v>
      </c>
      <c r="B6" s="11" t="s">
        <v>473</v>
      </c>
      <c r="C6" s="11" t="s">
        <v>506</v>
      </c>
      <c r="D6" s="11" t="s">
        <v>473</v>
      </c>
      <c r="E6" s="11" t="s">
        <v>516</v>
      </c>
      <c r="F6" s="11" t="s">
        <v>473</v>
      </c>
      <c r="G6" s="11" t="s">
        <v>515</v>
      </c>
      <c r="H6" s="11" t="s">
        <v>473</v>
      </c>
      <c r="I6" s="11" t="s">
        <v>514</v>
      </c>
      <c r="J6" s="11" t="s">
        <v>473</v>
      </c>
      <c r="K6" s="11" t="s">
        <v>513</v>
      </c>
      <c r="L6" s="11" t="s">
        <v>473</v>
      </c>
      <c r="M6" s="11" t="s">
        <v>512</v>
      </c>
      <c r="N6" s="11" t="s">
        <v>473</v>
      </c>
      <c r="O6" s="11" t="s">
        <v>511</v>
      </c>
      <c r="P6" s="11" t="s">
        <v>473</v>
      </c>
      <c r="Q6" s="11" t="s">
        <v>510</v>
      </c>
      <c r="R6" s="11" t="s">
        <v>473</v>
      </c>
      <c r="S6" s="11" t="s">
        <v>509</v>
      </c>
      <c r="T6" s="11" t="s">
        <v>473</v>
      </c>
      <c r="U6" s="11" t="s">
        <v>508</v>
      </c>
      <c r="V6" s="11" t="s">
        <v>473</v>
      </c>
      <c r="W6" t="s">
        <v>507</v>
      </c>
      <c r="X6" s="11" t="s">
        <v>473</v>
      </c>
      <c r="Z6" s="11" t="s">
        <v>473</v>
      </c>
      <c r="AB6" s="11" t="s">
        <v>473</v>
      </c>
      <c r="AD6" s="11" t="s">
        <v>473</v>
      </c>
      <c r="AF6" s="11" t="s">
        <v>473</v>
      </c>
      <c r="AH6" s="11"/>
    </row>
    <row r="7" spans="1:34" ht="14" x14ac:dyDescent="0.25">
      <c r="A7" s="27" t="s">
        <v>479</v>
      </c>
      <c r="B7" s="11" t="s">
        <v>473</v>
      </c>
      <c r="C7" s="11" t="s">
        <v>517</v>
      </c>
      <c r="D7" s="11" t="s">
        <v>473</v>
      </c>
      <c r="E7" s="11" t="s">
        <v>518</v>
      </c>
      <c r="F7" s="11" t="s">
        <v>473</v>
      </c>
      <c r="G7" s="11" t="s">
        <v>519</v>
      </c>
      <c r="H7" s="11" t="s">
        <v>473</v>
      </c>
      <c r="I7" s="11" t="s">
        <v>520</v>
      </c>
      <c r="J7" s="11" t="s">
        <v>473</v>
      </c>
      <c r="K7" s="11" t="s">
        <v>526</v>
      </c>
      <c r="L7" s="11" t="s">
        <v>473</v>
      </c>
      <c r="M7" s="11" t="s">
        <v>525</v>
      </c>
      <c r="N7" s="11" t="s">
        <v>473</v>
      </c>
      <c r="O7" s="11" t="s">
        <v>524</v>
      </c>
      <c r="P7" s="11" t="s">
        <v>473</v>
      </c>
      <c r="Q7" s="11" t="s">
        <v>523</v>
      </c>
      <c r="R7" s="11" t="s">
        <v>473</v>
      </c>
      <c r="S7" s="11" t="s">
        <v>522</v>
      </c>
      <c r="T7" s="11" t="s">
        <v>473</v>
      </c>
      <c r="U7" s="11" t="s">
        <v>521</v>
      </c>
      <c r="V7" s="11" t="s">
        <v>473</v>
      </c>
      <c r="W7" s="11" t="s">
        <v>527</v>
      </c>
      <c r="X7" s="11" t="s">
        <v>473</v>
      </c>
      <c r="Y7" s="11" t="s">
        <v>532</v>
      </c>
      <c r="Z7" s="11" t="s">
        <v>473</v>
      </c>
      <c r="AA7" s="11" t="s">
        <v>531</v>
      </c>
      <c r="AB7" s="11" t="s">
        <v>473</v>
      </c>
      <c r="AC7" s="11" t="s">
        <v>530</v>
      </c>
      <c r="AD7" s="11" t="s">
        <v>473</v>
      </c>
      <c r="AE7" s="11" t="s">
        <v>529</v>
      </c>
      <c r="AF7" s="11" t="s">
        <v>473</v>
      </c>
      <c r="AG7" t="s">
        <v>528</v>
      </c>
      <c r="AH7" s="11"/>
    </row>
    <row r="8" spans="1:34" ht="16.5" x14ac:dyDescent="0.25">
      <c r="A8" s="27" t="s">
        <v>480</v>
      </c>
      <c r="B8" s="11" t="s">
        <v>473</v>
      </c>
      <c r="C8" s="11" t="s">
        <v>540</v>
      </c>
      <c r="D8" s="11" t="s">
        <v>473</v>
      </c>
      <c r="E8" s="11" t="s">
        <v>539</v>
      </c>
      <c r="F8" s="11" t="s">
        <v>473</v>
      </c>
      <c r="G8" s="11" t="s">
        <v>538</v>
      </c>
      <c r="H8" s="11" t="s">
        <v>473</v>
      </c>
      <c r="I8" s="11" t="s">
        <v>537</v>
      </c>
      <c r="J8" s="11" t="s">
        <v>473</v>
      </c>
      <c r="K8" s="11" t="s">
        <v>536</v>
      </c>
      <c r="L8" s="11" t="s">
        <v>473</v>
      </c>
      <c r="M8" s="11" t="s">
        <v>535</v>
      </c>
      <c r="N8" s="11" t="s">
        <v>473</v>
      </c>
      <c r="O8" s="11" t="s">
        <v>534</v>
      </c>
      <c r="P8" s="11" t="s">
        <v>473</v>
      </c>
      <c r="Q8" t="s">
        <v>533</v>
      </c>
      <c r="R8" s="11" t="s">
        <v>473</v>
      </c>
      <c r="T8" s="11" t="s">
        <v>473</v>
      </c>
      <c r="V8" s="11" t="s">
        <v>473</v>
      </c>
      <c r="X8" s="11" t="s">
        <v>473</v>
      </c>
      <c r="Z8" s="11" t="s">
        <v>473</v>
      </c>
      <c r="AB8" s="11" t="s">
        <v>473</v>
      </c>
      <c r="AD8" s="11" t="s">
        <v>473</v>
      </c>
      <c r="AF8" s="11" t="s">
        <v>473</v>
      </c>
      <c r="AH8" s="11"/>
    </row>
    <row r="9" spans="1:34" ht="16.5" x14ac:dyDescent="0.25">
      <c r="A9" s="27" t="s">
        <v>481</v>
      </c>
      <c r="B9" s="11" t="s">
        <v>473</v>
      </c>
      <c r="C9" s="11" t="s">
        <v>551</v>
      </c>
      <c r="D9" s="11" t="s">
        <v>473</v>
      </c>
      <c r="E9" s="11" t="s">
        <v>550</v>
      </c>
      <c r="F9" s="11" t="s">
        <v>473</v>
      </c>
      <c r="G9" s="11" t="s">
        <v>549</v>
      </c>
      <c r="H9" s="11" t="s">
        <v>473</v>
      </c>
      <c r="I9" s="11" t="s">
        <v>548</v>
      </c>
      <c r="J9" s="11" t="s">
        <v>473</v>
      </c>
      <c r="K9" s="11" t="s">
        <v>547</v>
      </c>
      <c r="L9" s="11" t="s">
        <v>473</v>
      </c>
      <c r="M9" s="11" t="s">
        <v>546</v>
      </c>
      <c r="N9" s="11" t="s">
        <v>473</v>
      </c>
      <c r="O9" s="11" t="s">
        <v>545</v>
      </c>
      <c r="P9" s="11" t="s">
        <v>473</v>
      </c>
      <c r="Q9" s="11" t="s">
        <v>544</v>
      </c>
      <c r="R9" s="11" t="s">
        <v>473</v>
      </c>
      <c r="S9" s="11" t="s">
        <v>543</v>
      </c>
      <c r="T9" s="11" t="s">
        <v>473</v>
      </c>
      <c r="U9" s="11" t="s">
        <v>542</v>
      </c>
      <c r="V9" s="11" t="s">
        <v>473</v>
      </c>
      <c r="W9" t="s">
        <v>541</v>
      </c>
      <c r="X9" s="11" t="s">
        <v>473</v>
      </c>
      <c r="Z9" s="11" t="s">
        <v>473</v>
      </c>
      <c r="AB9" s="11" t="s">
        <v>473</v>
      </c>
      <c r="AD9" s="11" t="s">
        <v>473</v>
      </c>
      <c r="AF9" s="11" t="s">
        <v>473</v>
      </c>
      <c r="AH9" s="11"/>
    </row>
    <row r="10" spans="1:34" ht="16.5" x14ac:dyDescent="0.25">
      <c r="A10" s="27" t="s">
        <v>482</v>
      </c>
      <c r="B10" s="11" t="s">
        <v>473</v>
      </c>
      <c r="C10" s="11" t="s">
        <v>553</v>
      </c>
      <c r="D10" s="11" t="s">
        <v>473</v>
      </c>
      <c r="E10" t="s">
        <v>552</v>
      </c>
      <c r="F10" s="11" t="s">
        <v>473</v>
      </c>
      <c r="H10" s="11" t="s">
        <v>473</v>
      </c>
      <c r="J10" s="11" t="s">
        <v>473</v>
      </c>
      <c r="L10" s="11" t="s">
        <v>473</v>
      </c>
      <c r="N10" s="11" t="s">
        <v>473</v>
      </c>
      <c r="P10" s="11" t="s">
        <v>473</v>
      </c>
      <c r="R10" s="11" t="s">
        <v>473</v>
      </c>
      <c r="T10" s="11" t="s">
        <v>473</v>
      </c>
      <c r="V10" s="11" t="s">
        <v>473</v>
      </c>
      <c r="X10" s="11" t="s">
        <v>473</v>
      </c>
      <c r="Z10" s="11" t="s">
        <v>473</v>
      </c>
      <c r="AB10" s="11" t="s">
        <v>473</v>
      </c>
      <c r="AD10" s="11" t="s">
        <v>473</v>
      </c>
      <c r="AF10" s="11" t="s">
        <v>473</v>
      </c>
      <c r="AH10" s="11"/>
    </row>
    <row r="13" spans="1:34" ht="13" thickBot="1" x14ac:dyDescent="0.3"/>
    <row r="14" spans="1:34" ht="13" thickTop="1" x14ac:dyDescent="0.25">
      <c r="E14" s="977" t="s">
        <v>752</v>
      </c>
      <c r="F14" s="978"/>
    </row>
    <row r="15" spans="1:34" x14ac:dyDescent="0.25">
      <c r="E15" s="979"/>
      <c r="F15" s="980"/>
    </row>
    <row r="16" spans="1:34" x14ac:dyDescent="0.25">
      <c r="E16" s="979"/>
      <c r="F16" s="980"/>
    </row>
    <row r="17" spans="5:6" x14ac:dyDescent="0.25">
      <c r="E17" s="979"/>
      <c r="F17" s="980"/>
    </row>
    <row r="18" spans="5:6" ht="13" thickBot="1" x14ac:dyDescent="0.3">
      <c r="E18" s="981"/>
      <c r="F18" s="982"/>
    </row>
    <row r="19" spans="5:6" ht="13" thickTop="1" x14ac:dyDescent="0.25"/>
  </sheetData>
  <mergeCells count="1">
    <mergeCell ref="E14:F18"/>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D39"/>
  <sheetViews>
    <sheetView workbookViewId="0">
      <selection activeCell="E5" sqref="E5"/>
    </sheetView>
  </sheetViews>
  <sheetFormatPr defaultRowHeight="12.5" x14ac:dyDescent="0.25"/>
  <sheetData>
    <row r="3" spans="2:4" ht="13" thickBot="1" x14ac:dyDescent="0.3"/>
    <row r="4" spans="2:4" ht="13" thickBot="1" x14ac:dyDescent="0.3">
      <c r="B4" s="1008" t="s">
        <v>1596</v>
      </c>
      <c r="C4" s="1009"/>
      <c r="D4" s="1010"/>
    </row>
    <row r="5" spans="2:4" ht="21" x14ac:dyDescent="0.25">
      <c r="B5" s="844" t="s">
        <v>1597</v>
      </c>
      <c r="C5" s="844" t="s">
        <v>1599</v>
      </c>
      <c r="D5" s="844" t="s">
        <v>1600</v>
      </c>
    </row>
    <row r="6" spans="2:4" ht="13" thickBot="1" x14ac:dyDescent="0.3">
      <c r="B6" s="845" t="s">
        <v>1598</v>
      </c>
      <c r="C6" s="845" t="s">
        <v>1598</v>
      </c>
      <c r="D6" s="845" t="s">
        <v>1598</v>
      </c>
    </row>
    <row r="7" spans="2:4" ht="13" thickBot="1" x14ac:dyDescent="0.3">
      <c r="B7" s="516">
        <v>11.2</v>
      </c>
      <c r="C7" s="544">
        <v>12.5</v>
      </c>
      <c r="D7" s="846">
        <v>14.1</v>
      </c>
    </row>
    <row r="8" spans="2:4" ht="13" thickBot="1" x14ac:dyDescent="0.3">
      <c r="B8" s="516">
        <v>14.1</v>
      </c>
      <c r="C8" s="544">
        <v>16</v>
      </c>
      <c r="D8" s="846">
        <v>17.8</v>
      </c>
    </row>
    <row r="9" spans="2:4" ht="13" thickBot="1" x14ac:dyDescent="0.3">
      <c r="B9" s="516">
        <v>17.8</v>
      </c>
      <c r="C9" s="544">
        <v>20</v>
      </c>
      <c r="D9" s="846">
        <v>22.4</v>
      </c>
    </row>
    <row r="10" spans="2:4" ht="13" thickBot="1" x14ac:dyDescent="0.3">
      <c r="B10" s="516">
        <v>22.4</v>
      </c>
      <c r="C10" s="544">
        <v>25</v>
      </c>
      <c r="D10" s="846">
        <v>28.2</v>
      </c>
    </row>
    <row r="11" spans="2:4" ht="13" thickBot="1" x14ac:dyDescent="0.3">
      <c r="B11" s="516">
        <v>28.2</v>
      </c>
      <c r="C11" s="544">
        <v>31.5</v>
      </c>
      <c r="D11" s="846">
        <v>35.5</v>
      </c>
    </row>
    <row r="12" spans="2:4" ht="13" thickBot="1" x14ac:dyDescent="0.3">
      <c r="B12" s="516">
        <v>35.5</v>
      </c>
      <c r="C12" s="544">
        <v>40</v>
      </c>
      <c r="D12" s="846">
        <v>44.7</v>
      </c>
    </row>
    <row r="13" spans="2:4" ht="13" thickBot="1" x14ac:dyDescent="0.3">
      <c r="B13" s="516">
        <v>44.7</v>
      </c>
      <c r="C13" s="544">
        <v>50</v>
      </c>
      <c r="D13" s="846">
        <v>56.2</v>
      </c>
    </row>
    <row r="14" spans="2:4" ht="13" thickBot="1" x14ac:dyDescent="0.3">
      <c r="B14" s="516">
        <v>56.2</v>
      </c>
      <c r="C14" s="544">
        <v>63</v>
      </c>
      <c r="D14" s="846">
        <v>70.8</v>
      </c>
    </row>
    <row r="15" spans="2:4" ht="13" thickBot="1" x14ac:dyDescent="0.3">
      <c r="B15" s="516">
        <v>70.8</v>
      </c>
      <c r="C15" s="544">
        <v>80</v>
      </c>
      <c r="D15" s="846">
        <v>89.1</v>
      </c>
    </row>
    <row r="16" spans="2:4" ht="13" thickBot="1" x14ac:dyDescent="0.3">
      <c r="B16" s="516">
        <v>89.1</v>
      </c>
      <c r="C16" s="544">
        <v>100</v>
      </c>
      <c r="D16" s="846">
        <v>112</v>
      </c>
    </row>
    <row r="17" spans="2:4" ht="13" thickBot="1" x14ac:dyDescent="0.3">
      <c r="B17" s="516">
        <v>112</v>
      </c>
      <c r="C17" s="544">
        <v>125</v>
      </c>
      <c r="D17" s="846">
        <v>141</v>
      </c>
    </row>
    <row r="18" spans="2:4" ht="13" thickBot="1" x14ac:dyDescent="0.3">
      <c r="B18" s="516">
        <v>141</v>
      </c>
      <c r="C18" s="544">
        <v>160</v>
      </c>
      <c r="D18" s="846">
        <v>178</v>
      </c>
    </row>
    <row r="19" spans="2:4" ht="13" thickBot="1" x14ac:dyDescent="0.3">
      <c r="B19" s="516">
        <v>178</v>
      </c>
      <c r="C19" s="544">
        <v>200</v>
      </c>
      <c r="D19" s="846">
        <v>224</v>
      </c>
    </row>
    <row r="20" spans="2:4" ht="13" thickBot="1" x14ac:dyDescent="0.3">
      <c r="B20" s="516">
        <v>224</v>
      </c>
      <c r="C20" s="544">
        <v>250</v>
      </c>
      <c r="D20" s="846">
        <v>282</v>
      </c>
    </row>
    <row r="21" spans="2:4" ht="13" thickBot="1" x14ac:dyDescent="0.3">
      <c r="B21" s="516">
        <v>282</v>
      </c>
      <c r="C21" s="544">
        <v>315</v>
      </c>
      <c r="D21" s="846">
        <v>355</v>
      </c>
    </row>
    <row r="22" spans="2:4" ht="13" thickBot="1" x14ac:dyDescent="0.3">
      <c r="B22" s="516">
        <v>355</v>
      </c>
      <c r="C22" s="544">
        <v>400</v>
      </c>
      <c r="D22" s="846">
        <v>447</v>
      </c>
    </row>
    <row r="23" spans="2:4" ht="13" thickBot="1" x14ac:dyDescent="0.3">
      <c r="B23" s="516">
        <v>447</v>
      </c>
      <c r="C23" s="544">
        <v>500</v>
      </c>
      <c r="D23" s="846">
        <v>562</v>
      </c>
    </row>
    <row r="24" spans="2:4" ht="13" thickBot="1" x14ac:dyDescent="0.3">
      <c r="B24" s="516">
        <v>562</v>
      </c>
      <c r="C24" s="544">
        <v>630</v>
      </c>
      <c r="D24" s="846">
        <v>708</v>
      </c>
    </row>
    <row r="25" spans="2:4" ht="13" thickBot="1" x14ac:dyDescent="0.3">
      <c r="B25" s="516">
        <v>708</v>
      </c>
      <c r="C25" s="544">
        <v>800</v>
      </c>
      <c r="D25" s="846">
        <v>891</v>
      </c>
    </row>
    <row r="26" spans="2:4" ht="13" thickBot="1" x14ac:dyDescent="0.3">
      <c r="B26" s="516">
        <v>891</v>
      </c>
      <c r="C26" s="544">
        <v>1000</v>
      </c>
      <c r="D26" s="846">
        <v>1122</v>
      </c>
    </row>
    <row r="27" spans="2:4" ht="13" thickBot="1" x14ac:dyDescent="0.3">
      <c r="B27" s="516">
        <v>1122</v>
      </c>
      <c r="C27" s="544">
        <v>1250</v>
      </c>
      <c r="D27" s="846">
        <v>1413</v>
      </c>
    </row>
    <row r="28" spans="2:4" ht="13" thickBot="1" x14ac:dyDescent="0.3">
      <c r="B28" s="516">
        <v>1413</v>
      </c>
      <c r="C28" s="544">
        <v>1600</v>
      </c>
      <c r="D28" s="846">
        <v>1778</v>
      </c>
    </row>
    <row r="29" spans="2:4" ht="13" thickBot="1" x14ac:dyDescent="0.3">
      <c r="B29" s="516">
        <v>1778</v>
      </c>
      <c r="C29" s="544">
        <v>2000</v>
      </c>
      <c r="D29" s="846">
        <v>2239</v>
      </c>
    </row>
    <row r="30" spans="2:4" ht="13" thickBot="1" x14ac:dyDescent="0.3">
      <c r="B30" s="516">
        <v>2239</v>
      </c>
      <c r="C30" s="544">
        <v>2500</v>
      </c>
      <c r="D30" s="846">
        <v>2818</v>
      </c>
    </row>
    <row r="31" spans="2:4" ht="13" thickBot="1" x14ac:dyDescent="0.3">
      <c r="B31" s="516">
        <v>2818</v>
      </c>
      <c r="C31" s="544">
        <v>3150</v>
      </c>
      <c r="D31" s="846">
        <v>3548</v>
      </c>
    </row>
    <row r="32" spans="2:4" ht="13" thickBot="1" x14ac:dyDescent="0.3">
      <c r="B32" s="516">
        <v>3548</v>
      </c>
      <c r="C32" s="544">
        <v>4000</v>
      </c>
      <c r="D32" s="846">
        <v>4467</v>
      </c>
    </row>
    <row r="33" spans="2:4" ht="13" thickBot="1" x14ac:dyDescent="0.3">
      <c r="B33" s="516">
        <v>4467</v>
      </c>
      <c r="C33" s="544">
        <v>5000</v>
      </c>
      <c r="D33" s="846">
        <v>5623</v>
      </c>
    </row>
    <row r="34" spans="2:4" ht="13" thickBot="1" x14ac:dyDescent="0.3">
      <c r="B34" s="516">
        <v>5623</v>
      </c>
      <c r="C34" s="544">
        <v>6300</v>
      </c>
      <c r="D34" s="846">
        <v>7079</v>
      </c>
    </row>
    <row r="35" spans="2:4" ht="13" thickBot="1" x14ac:dyDescent="0.3">
      <c r="B35" s="516">
        <v>7079</v>
      </c>
      <c r="C35" s="544">
        <v>8000</v>
      </c>
      <c r="D35" s="846">
        <v>8913</v>
      </c>
    </row>
    <row r="36" spans="2:4" ht="13" thickBot="1" x14ac:dyDescent="0.3">
      <c r="B36" s="516">
        <v>8913</v>
      </c>
      <c r="C36" s="544">
        <v>10000</v>
      </c>
      <c r="D36" s="846">
        <v>11220</v>
      </c>
    </row>
    <row r="37" spans="2:4" ht="13" thickBot="1" x14ac:dyDescent="0.3">
      <c r="B37" s="516">
        <v>11220</v>
      </c>
      <c r="C37" s="544">
        <v>12500</v>
      </c>
      <c r="D37" s="846">
        <v>14130</v>
      </c>
    </row>
    <row r="38" spans="2:4" ht="13" thickBot="1" x14ac:dyDescent="0.3">
      <c r="B38" s="516">
        <v>14130</v>
      </c>
      <c r="C38" s="544">
        <v>16000</v>
      </c>
      <c r="D38" s="846">
        <v>17780</v>
      </c>
    </row>
    <row r="39" spans="2:4" ht="13" thickBot="1" x14ac:dyDescent="0.3">
      <c r="B39" s="543">
        <v>17780</v>
      </c>
      <c r="C39" s="545">
        <v>20000</v>
      </c>
      <c r="D39" s="847">
        <v>22390</v>
      </c>
    </row>
  </sheetData>
  <mergeCells count="1">
    <mergeCell ref="B4:D4"/>
  </mergeCells>
  <pageMargins left="0.7" right="0.7" top="0.75" bottom="0.75" header="0.3" footer="0.3"/>
  <pageSetup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71"/>
  <sheetViews>
    <sheetView workbookViewId="0">
      <selection activeCell="D3" sqref="D3"/>
    </sheetView>
  </sheetViews>
  <sheetFormatPr defaultColWidth="9.08984375" defaultRowHeight="14.25" customHeight="1" x14ac:dyDescent="0.25"/>
  <cols>
    <col min="1" max="1" width="34.1796875" style="30" bestFit="1" customWidth="1"/>
    <col min="2" max="2" width="16.453125" style="30" customWidth="1"/>
    <col min="3" max="3" width="16" style="30" customWidth="1"/>
    <col min="4" max="4" width="12.54296875" style="30" bestFit="1" customWidth="1"/>
    <col min="5" max="5" width="23.36328125" style="30" bestFit="1" customWidth="1"/>
    <col min="6" max="6" width="10.453125" style="30" bestFit="1" customWidth="1"/>
    <col min="7" max="7" width="8.36328125" style="30" bestFit="1" customWidth="1"/>
    <col min="8" max="15" width="9.08984375" style="30"/>
    <col min="16" max="16" width="10.81640625" style="30" bestFit="1" customWidth="1"/>
    <col min="17" max="17" width="14.6328125" style="30" customWidth="1"/>
    <col min="18" max="18" width="15.6328125" style="30" customWidth="1"/>
    <col min="19" max="19" width="8.36328125" style="30" bestFit="1" customWidth="1"/>
    <col min="20" max="16384" width="9.08984375" style="30"/>
  </cols>
  <sheetData>
    <row r="2" spans="1:22" ht="14.25" customHeight="1" thickBot="1" x14ac:dyDescent="0.3">
      <c r="A2"/>
      <c r="B2"/>
      <c r="C2"/>
    </row>
    <row r="3" spans="1:22" ht="14.25" customHeight="1" thickTop="1" x14ac:dyDescent="0.25">
      <c r="A3" s="506" t="s">
        <v>868</v>
      </c>
      <c r="B3" s="507">
        <f>SQRT(B5*B6*B7)</f>
        <v>331.2301752558181</v>
      </c>
      <c r="C3"/>
      <c r="I3" s="1016" t="s">
        <v>752</v>
      </c>
      <c r="J3" s="1017"/>
      <c r="P3" s="1011" t="s">
        <v>762</v>
      </c>
      <c r="Q3" s="1011" t="s">
        <v>1006</v>
      </c>
      <c r="R3" s="1011" t="s">
        <v>1016</v>
      </c>
    </row>
    <row r="4" spans="1:22" ht="14.25" customHeight="1" x14ac:dyDescent="0.25">
      <c r="A4"/>
      <c r="B4"/>
      <c r="C4"/>
      <c r="I4" s="1018"/>
      <c r="J4" s="1019"/>
      <c r="P4" s="1012"/>
      <c r="Q4" s="1012"/>
      <c r="R4" s="1012"/>
    </row>
    <row r="5" spans="1:22" ht="14.25" customHeight="1" thickBot="1" x14ac:dyDescent="0.3">
      <c r="A5" t="s">
        <v>869</v>
      </c>
      <c r="B5" s="508">
        <v>1.4</v>
      </c>
      <c r="C5"/>
      <c r="I5" s="1018"/>
      <c r="J5" s="1019"/>
      <c r="P5" s="1013"/>
      <c r="Q5" s="1013"/>
      <c r="R5" s="1013"/>
    </row>
    <row r="6" spans="1:22" ht="14.25" customHeight="1" thickBot="1" x14ac:dyDescent="0.3">
      <c r="A6" t="s">
        <v>870</v>
      </c>
      <c r="B6" s="508">
        <v>286.89999999999998</v>
      </c>
      <c r="C6"/>
      <c r="I6" s="1018"/>
      <c r="J6" s="1019"/>
      <c r="P6" s="516" t="s">
        <v>763</v>
      </c>
      <c r="Q6" s="544">
        <v>12890</v>
      </c>
      <c r="R6" s="544">
        <v>42290.03</v>
      </c>
      <c r="V6" s="185"/>
    </row>
    <row r="7" spans="1:22" ht="14.25" customHeight="1" thickBot="1" x14ac:dyDescent="0.3">
      <c r="A7" t="s">
        <v>871</v>
      </c>
      <c r="B7" s="508">
        <v>273.14999999999998</v>
      </c>
      <c r="C7"/>
      <c r="I7" s="1020"/>
      <c r="J7" s="1021"/>
      <c r="P7" s="516" t="s">
        <v>753</v>
      </c>
      <c r="Q7" s="544" t="s">
        <v>1007</v>
      </c>
      <c r="R7" s="544" t="s">
        <v>1017</v>
      </c>
    </row>
    <row r="8" spans="1:22" ht="14.25" customHeight="1" thickTop="1" thickBot="1" x14ac:dyDescent="0.3">
      <c r="A8"/>
      <c r="B8"/>
      <c r="C8"/>
      <c r="P8" s="516" t="s">
        <v>764</v>
      </c>
      <c r="Q8" s="544" t="s">
        <v>1008</v>
      </c>
      <c r="R8" s="544" t="s">
        <v>1018</v>
      </c>
    </row>
    <row r="9" spans="1:22" ht="14.25" customHeight="1" thickBot="1" x14ac:dyDescent="0.3">
      <c r="A9"/>
      <c r="B9"/>
      <c r="C9"/>
      <c r="P9" s="516" t="s">
        <v>754</v>
      </c>
      <c r="Q9" s="544" t="s">
        <v>1009</v>
      </c>
      <c r="R9" s="544" t="s">
        <v>1019</v>
      </c>
    </row>
    <row r="10" spans="1:22" ht="14.25" customHeight="1" thickBot="1" x14ac:dyDescent="0.3">
      <c r="A10" s="506" t="s">
        <v>872</v>
      </c>
      <c r="B10" s="509">
        <f>SQRT(B12*B13*B14)</f>
        <v>1086.8468410958371</v>
      </c>
      <c r="C10"/>
      <c r="P10" s="516" t="s">
        <v>755</v>
      </c>
      <c r="Q10" s="544" t="s">
        <v>1010</v>
      </c>
      <c r="R10" s="544" t="s">
        <v>1020</v>
      </c>
    </row>
    <row r="11" spans="1:22" ht="14.25" customHeight="1" thickBot="1" x14ac:dyDescent="0.3">
      <c r="A11"/>
      <c r="B11"/>
      <c r="C11"/>
      <c r="P11" s="516" t="s">
        <v>765</v>
      </c>
      <c r="Q11" s="544" t="s">
        <v>766</v>
      </c>
      <c r="R11" s="544" t="s">
        <v>1021</v>
      </c>
    </row>
    <row r="12" spans="1:22" ht="14.25" customHeight="1" thickBot="1" x14ac:dyDescent="0.3">
      <c r="A12" t="s">
        <v>869</v>
      </c>
      <c r="B12" s="508">
        <v>1.4</v>
      </c>
      <c r="C12"/>
      <c r="P12" s="516" t="s">
        <v>767</v>
      </c>
      <c r="Q12" s="544">
        <v>12000</v>
      </c>
      <c r="R12" s="544">
        <v>39370.080000000002</v>
      </c>
    </row>
    <row r="13" spans="1:22" ht="14.25" customHeight="1" thickBot="1" x14ac:dyDescent="0.3">
      <c r="A13" t="s">
        <v>873</v>
      </c>
      <c r="B13" s="508">
        <v>1716</v>
      </c>
      <c r="C13"/>
      <c r="P13" s="516" t="s">
        <v>385</v>
      </c>
      <c r="Q13" s="544" t="s">
        <v>1011</v>
      </c>
      <c r="R13" s="544" t="s">
        <v>1022</v>
      </c>
    </row>
    <row r="14" spans="1:22" ht="14.25" customHeight="1" thickBot="1" x14ac:dyDescent="0.3">
      <c r="A14" t="s">
        <v>874</v>
      </c>
      <c r="B14" s="508">
        <v>491.69</v>
      </c>
      <c r="C14"/>
      <c r="P14" s="516" t="s">
        <v>768</v>
      </c>
      <c r="Q14" s="544">
        <v>5640</v>
      </c>
      <c r="R14" s="544">
        <v>18503.939999999999</v>
      </c>
    </row>
    <row r="15" spans="1:22" ht="14.25" customHeight="1" thickBot="1" x14ac:dyDescent="0.3">
      <c r="A15"/>
      <c r="B15"/>
      <c r="C15"/>
      <c r="P15" s="516" t="s">
        <v>756</v>
      </c>
      <c r="Q15" s="544">
        <v>3240</v>
      </c>
      <c r="R15" s="544">
        <v>10629.92</v>
      </c>
    </row>
    <row r="16" spans="1:22" ht="14.25" customHeight="1" thickBot="1" x14ac:dyDescent="0.3">
      <c r="A16"/>
      <c r="B16"/>
      <c r="C16"/>
      <c r="P16" s="516" t="s">
        <v>757</v>
      </c>
      <c r="Q16" s="544">
        <v>5950</v>
      </c>
      <c r="R16" s="544">
        <v>19521</v>
      </c>
    </row>
    <row r="17" spans="1:18" ht="14.25" customHeight="1" thickBot="1" x14ac:dyDescent="0.3">
      <c r="A17"/>
      <c r="B17"/>
      <c r="C17"/>
      <c r="P17" s="516" t="s">
        <v>758</v>
      </c>
      <c r="Q17" s="544" t="s">
        <v>1012</v>
      </c>
      <c r="R17" s="544" t="s">
        <v>1023</v>
      </c>
    </row>
    <row r="18" spans="1:18" ht="14.25" customHeight="1" thickBot="1" x14ac:dyDescent="0.3">
      <c r="A18"/>
      <c r="B18"/>
      <c r="C18"/>
      <c r="P18" s="516" t="s">
        <v>759</v>
      </c>
      <c r="Q18" s="544" t="s">
        <v>1013</v>
      </c>
      <c r="R18" s="544" t="s">
        <v>1024</v>
      </c>
    </row>
    <row r="19" spans="1:18" ht="14.25" customHeight="1" thickBot="1" x14ac:dyDescent="0.3">
      <c r="A19" s="1014" t="s">
        <v>875</v>
      </c>
      <c r="B19" s="510" t="s">
        <v>876</v>
      </c>
      <c r="C19"/>
      <c r="E19" s="519"/>
      <c r="F19" s="520"/>
      <c r="G19" s="520"/>
      <c r="H19" s="520"/>
      <c r="I19" s="520"/>
      <c r="J19" s="520"/>
      <c r="K19" s="520"/>
      <c r="L19" s="520"/>
      <c r="M19" s="521"/>
      <c r="P19" s="516" t="s">
        <v>769</v>
      </c>
      <c r="Q19" s="544">
        <v>2680</v>
      </c>
      <c r="R19" s="544">
        <v>8792.6509999999998</v>
      </c>
    </row>
    <row r="20" spans="1:18" ht="42.75" customHeight="1" thickBot="1" x14ac:dyDescent="0.3">
      <c r="A20" s="1015"/>
      <c r="B20" s="511" t="s">
        <v>877</v>
      </c>
      <c r="C20"/>
      <c r="E20" s="522" t="s">
        <v>924</v>
      </c>
      <c r="F20" s="522" t="s">
        <v>925</v>
      </c>
      <c r="G20" s="523" t="s">
        <v>922</v>
      </c>
      <c r="H20" s="524"/>
      <c r="I20" s="524"/>
      <c r="J20" s="525"/>
      <c r="K20" s="522" t="s">
        <v>926</v>
      </c>
      <c r="L20" s="523" t="s">
        <v>927</v>
      </c>
      <c r="M20" s="525"/>
      <c r="P20" s="516" t="s">
        <v>770</v>
      </c>
      <c r="Q20" s="544">
        <v>1830</v>
      </c>
      <c r="R20" s="544">
        <v>6003.9369999999999</v>
      </c>
    </row>
    <row r="21" spans="1:18" ht="14.25" customHeight="1" thickBot="1" x14ac:dyDescent="0.3">
      <c r="A21" s="512" t="s">
        <v>878</v>
      </c>
      <c r="B21" s="513">
        <v>1.3</v>
      </c>
      <c r="C21"/>
      <c r="E21" s="526"/>
      <c r="F21" s="526"/>
      <c r="G21" s="527"/>
      <c r="H21" s="528"/>
      <c r="I21" s="528"/>
      <c r="J21" s="529"/>
      <c r="K21" s="530"/>
      <c r="L21" s="531" t="s">
        <v>928</v>
      </c>
      <c r="M21" s="532"/>
      <c r="P21" s="516" t="s">
        <v>771</v>
      </c>
      <c r="Q21" s="544" t="s">
        <v>772</v>
      </c>
      <c r="R21" s="544" t="s">
        <v>1025</v>
      </c>
    </row>
    <row r="22" spans="1:18" ht="15" customHeight="1" thickBot="1" x14ac:dyDescent="0.3">
      <c r="A22" s="512" t="s">
        <v>879</v>
      </c>
      <c r="B22" s="513">
        <v>1</v>
      </c>
      <c r="C22" s="546" t="s">
        <v>921</v>
      </c>
      <c r="E22" s="526"/>
      <c r="F22" s="526"/>
      <c r="G22" s="533" t="s">
        <v>967</v>
      </c>
      <c r="H22" s="533" t="s">
        <v>968</v>
      </c>
      <c r="I22" s="533" t="s">
        <v>967</v>
      </c>
      <c r="J22" s="533" t="s">
        <v>968</v>
      </c>
      <c r="K22" s="534" t="s">
        <v>970</v>
      </c>
      <c r="L22" s="533" t="s">
        <v>971</v>
      </c>
      <c r="M22" s="535" t="s">
        <v>971</v>
      </c>
      <c r="P22" s="516" t="s">
        <v>760</v>
      </c>
      <c r="Q22" s="544">
        <v>3650</v>
      </c>
      <c r="R22" s="544">
        <v>11975.07</v>
      </c>
    </row>
    <row r="23" spans="1:18" ht="22" customHeight="1" thickBot="1" x14ac:dyDescent="0.3">
      <c r="A23" s="512" t="s">
        <v>880</v>
      </c>
      <c r="B23" s="513">
        <v>1.4</v>
      </c>
      <c r="C23"/>
      <c r="E23" s="530"/>
      <c r="F23" s="530"/>
      <c r="G23" s="517" t="s">
        <v>923</v>
      </c>
      <c r="H23" s="517" t="s">
        <v>923</v>
      </c>
      <c r="I23" s="517" t="s">
        <v>969</v>
      </c>
      <c r="J23" s="517" t="s">
        <v>969</v>
      </c>
      <c r="K23" s="517"/>
      <c r="L23" s="517" t="s">
        <v>923</v>
      </c>
      <c r="M23" s="518" t="s">
        <v>972</v>
      </c>
      <c r="P23" s="516" t="s">
        <v>773</v>
      </c>
      <c r="Q23" s="544" t="s">
        <v>1014</v>
      </c>
      <c r="R23" s="544" t="s">
        <v>1026</v>
      </c>
    </row>
    <row r="24" spans="1:18" ht="14.25" customHeight="1" thickBot="1" x14ac:dyDescent="0.3">
      <c r="A24" s="512" t="s">
        <v>881</v>
      </c>
      <c r="B24" s="513">
        <v>1.32</v>
      </c>
      <c r="C24"/>
      <c r="E24" s="501" t="s">
        <v>929</v>
      </c>
      <c r="F24" s="500" t="s">
        <v>973</v>
      </c>
      <c r="G24" s="500">
        <v>1.47</v>
      </c>
      <c r="H24" s="500">
        <v>1.32</v>
      </c>
      <c r="I24" s="500">
        <v>0.35</v>
      </c>
      <c r="J24" s="500">
        <v>0.32</v>
      </c>
      <c r="K24" s="500">
        <v>1.1100000000000001</v>
      </c>
      <c r="L24" s="500">
        <v>0.15</v>
      </c>
      <c r="M24" s="502"/>
      <c r="P24" s="516" t="s">
        <v>774</v>
      </c>
      <c r="Q24" s="544">
        <v>5790</v>
      </c>
      <c r="R24" s="544">
        <v>18996.060000000001</v>
      </c>
    </row>
    <row r="25" spans="1:18" ht="14.25" customHeight="1" thickBot="1" x14ac:dyDescent="0.3">
      <c r="A25" s="512" t="s">
        <v>882</v>
      </c>
      <c r="B25" s="513">
        <v>1.66</v>
      </c>
      <c r="C25"/>
      <c r="E25" s="501" t="s">
        <v>878</v>
      </c>
      <c r="F25" s="500" t="s">
        <v>974</v>
      </c>
      <c r="G25" s="500">
        <v>1.69</v>
      </c>
      <c r="H25" s="500">
        <v>1.37</v>
      </c>
      <c r="I25" s="500">
        <v>0.35</v>
      </c>
      <c r="J25" s="500">
        <v>0.27</v>
      </c>
      <c r="K25" s="500">
        <v>1.232</v>
      </c>
      <c r="L25" s="500">
        <v>0.31900000000000001</v>
      </c>
      <c r="M25" s="502">
        <v>59.34</v>
      </c>
      <c r="P25" s="516" t="s">
        <v>761</v>
      </c>
      <c r="Q25" s="544">
        <v>6070</v>
      </c>
      <c r="R25" s="544">
        <v>19914.7</v>
      </c>
    </row>
    <row r="26" spans="1:18" ht="14.25" customHeight="1" thickBot="1" x14ac:dyDescent="0.3">
      <c r="A26" s="512" t="s">
        <v>883</v>
      </c>
      <c r="B26" s="513">
        <v>1.1200000000000001</v>
      </c>
      <c r="C26"/>
      <c r="E26" s="501" t="s">
        <v>930</v>
      </c>
      <c r="F26" s="500"/>
      <c r="G26" s="500">
        <v>1.01</v>
      </c>
      <c r="H26" s="500">
        <v>0.71799999999999997</v>
      </c>
      <c r="I26" s="500">
        <v>0.24</v>
      </c>
      <c r="J26" s="500">
        <v>0.17</v>
      </c>
      <c r="K26" s="500">
        <v>1.4</v>
      </c>
      <c r="L26" s="500">
        <v>0.28699999999999998</v>
      </c>
      <c r="M26" s="502">
        <v>53.34</v>
      </c>
      <c r="P26" s="516" t="s">
        <v>775</v>
      </c>
      <c r="Q26" s="544">
        <v>3960</v>
      </c>
      <c r="R26" s="544">
        <v>12992.13</v>
      </c>
    </row>
    <row r="27" spans="1:18" ht="14.25" customHeight="1" thickBot="1" x14ac:dyDescent="0.3">
      <c r="A27" s="512" t="s">
        <v>884</v>
      </c>
      <c r="B27" s="513">
        <v>1.18</v>
      </c>
      <c r="C27"/>
      <c r="E27" s="501" t="s">
        <v>931</v>
      </c>
      <c r="F27" s="500" t="s">
        <v>975</v>
      </c>
      <c r="G27" s="500">
        <v>1.88</v>
      </c>
      <c r="H27" s="500">
        <v>1.67</v>
      </c>
      <c r="I27" s="500">
        <v>0.45</v>
      </c>
      <c r="J27" s="500">
        <v>0.4</v>
      </c>
      <c r="K27" s="500">
        <v>1.1299999999999999</v>
      </c>
      <c r="L27" s="500">
        <v>0.22</v>
      </c>
      <c r="M27" s="502"/>
      <c r="P27" s="543" t="s">
        <v>776</v>
      </c>
      <c r="Q27" s="545" t="s">
        <v>1015</v>
      </c>
      <c r="R27" s="545" t="s">
        <v>1027</v>
      </c>
    </row>
    <row r="28" spans="1:18" ht="14.25" customHeight="1" thickBot="1" x14ac:dyDescent="0.3">
      <c r="A28" s="512" t="s">
        <v>885</v>
      </c>
      <c r="B28" s="513">
        <v>1.19</v>
      </c>
      <c r="C28"/>
      <c r="E28" s="501" t="s">
        <v>932</v>
      </c>
      <c r="F28" s="500" t="s">
        <v>976</v>
      </c>
      <c r="G28" s="500">
        <v>1.93</v>
      </c>
      <c r="H28" s="500">
        <v>1.53</v>
      </c>
      <c r="I28" s="500">
        <v>0.46</v>
      </c>
      <c r="J28" s="500">
        <v>0.37</v>
      </c>
      <c r="K28" s="500">
        <v>1.26</v>
      </c>
      <c r="L28" s="500">
        <v>0.39</v>
      </c>
      <c r="M28" s="502"/>
    </row>
    <row r="29" spans="1:18" ht="14.25" customHeight="1" thickBot="1" x14ac:dyDescent="0.3">
      <c r="A29" s="512" t="s">
        <v>886</v>
      </c>
      <c r="B29" s="513">
        <v>1.28</v>
      </c>
      <c r="C29"/>
      <c r="E29" s="501" t="s">
        <v>881</v>
      </c>
      <c r="F29" s="500" t="s">
        <v>977</v>
      </c>
      <c r="G29" s="500">
        <v>2.19</v>
      </c>
      <c r="H29" s="500">
        <v>1.66</v>
      </c>
      <c r="I29" s="500">
        <v>0.52</v>
      </c>
      <c r="J29" s="500">
        <v>0.4</v>
      </c>
      <c r="K29" s="500">
        <v>1.31</v>
      </c>
      <c r="L29" s="500">
        <v>0.53</v>
      </c>
      <c r="M29" s="502">
        <v>96.5</v>
      </c>
    </row>
    <row r="30" spans="1:18" ht="14.25" customHeight="1" thickBot="1" x14ac:dyDescent="0.3">
      <c r="A30" s="512" t="s">
        <v>887</v>
      </c>
      <c r="B30" s="513">
        <v>1.21</v>
      </c>
      <c r="C30"/>
      <c r="E30" s="501" t="s">
        <v>882</v>
      </c>
      <c r="F30" s="500" t="s">
        <v>933</v>
      </c>
      <c r="G30" s="500">
        <v>0.52</v>
      </c>
      <c r="H30" s="500">
        <v>0.312</v>
      </c>
      <c r="I30" s="500">
        <v>0.12</v>
      </c>
      <c r="J30" s="500">
        <v>7.0000000000000007E-2</v>
      </c>
      <c r="K30" s="500">
        <v>1.667</v>
      </c>
      <c r="L30" s="500">
        <v>0.20799999999999999</v>
      </c>
      <c r="M30" s="502"/>
    </row>
    <row r="31" spans="1:18" ht="14.25" customHeight="1" thickBot="1" x14ac:dyDescent="0.3">
      <c r="A31" s="512" t="s">
        <v>888</v>
      </c>
      <c r="B31" s="513">
        <v>1.4</v>
      </c>
      <c r="C31"/>
      <c r="E31" s="501" t="s">
        <v>883</v>
      </c>
      <c r="F31" s="500" t="s">
        <v>978</v>
      </c>
      <c r="G31" s="500">
        <v>1.0900000000000001</v>
      </c>
      <c r="H31" s="500">
        <v>0.99</v>
      </c>
      <c r="I31" s="500">
        <v>0.26</v>
      </c>
      <c r="J31" s="500">
        <v>0.24</v>
      </c>
      <c r="K31" s="500">
        <v>1.1200000000000001</v>
      </c>
      <c r="L31" s="500">
        <v>0.1</v>
      </c>
      <c r="M31" s="502"/>
    </row>
    <row r="32" spans="1:18" ht="14.25" customHeight="1" thickBot="1" x14ac:dyDescent="0.3">
      <c r="A32" s="512" t="s">
        <v>889</v>
      </c>
      <c r="B32" s="513">
        <v>1.33</v>
      </c>
      <c r="C32"/>
      <c r="E32" s="501" t="s">
        <v>934</v>
      </c>
      <c r="F32" s="500"/>
      <c r="G32" s="500">
        <v>1.03</v>
      </c>
      <c r="H32" s="500">
        <v>0.73</v>
      </c>
      <c r="I32" s="500">
        <v>0.25</v>
      </c>
      <c r="J32" s="500">
        <v>0.17</v>
      </c>
      <c r="K32" s="500">
        <v>1.41</v>
      </c>
      <c r="L32" s="500">
        <v>0.3</v>
      </c>
      <c r="M32" s="502">
        <v>55.05</v>
      </c>
    </row>
    <row r="33" spans="1:13" ht="14.25" customHeight="1" thickBot="1" x14ac:dyDescent="0.3">
      <c r="A33" s="512" t="s">
        <v>890</v>
      </c>
      <c r="B33" s="513">
        <v>1.18</v>
      </c>
      <c r="C33"/>
      <c r="E33" s="501" t="s">
        <v>935</v>
      </c>
      <c r="F33" s="500" t="s">
        <v>979</v>
      </c>
      <c r="G33" s="500">
        <v>0.25</v>
      </c>
      <c r="H33" s="500">
        <v>0.2</v>
      </c>
      <c r="I33" s="500">
        <v>0.06</v>
      </c>
      <c r="J33" s="500">
        <v>0.05</v>
      </c>
      <c r="K33" s="500">
        <v>1.28</v>
      </c>
      <c r="L33" s="500">
        <v>0.05</v>
      </c>
      <c r="M33" s="502"/>
    </row>
    <row r="34" spans="1:13" ht="14.25" customHeight="1" thickBot="1" x14ac:dyDescent="0.3">
      <c r="A34" s="512" t="s">
        <v>891</v>
      </c>
      <c r="B34" s="513">
        <v>1.1299999999999999</v>
      </c>
      <c r="C34"/>
      <c r="E34" s="501" t="s">
        <v>936</v>
      </c>
      <c r="F34" s="500" t="s">
        <v>980</v>
      </c>
      <c r="G34" s="500">
        <v>1.67</v>
      </c>
      <c r="H34" s="500">
        <v>1.53</v>
      </c>
      <c r="I34" s="500">
        <v>0.39500000000000002</v>
      </c>
      <c r="J34" s="500">
        <v>0.35599999999999998</v>
      </c>
      <c r="K34" s="500">
        <v>1.0940000000000001</v>
      </c>
      <c r="L34" s="500">
        <v>0.14299999999999999</v>
      </c>
      <c r="M34" s="502">
        <v>26.5</v>
      </c>
    </row>
    <row r="35" spans="1:13" ht="14.25" customHeight="1" thickBot="1" x14ac:dyDescent="0.3">
      <c r="A35" s="512" t="s">
        <v>892</v>
      </c>
      <c r="B35" s="513">
        <v>1.19</v>
      </c>
      <c r="C35"/>
      <c r="E35" s="501" t="s">
        <v>937</v>
      </c>
      <c r="F35" s="500" t="s">
        <v>981</v>
      </c>
      <c r="G35" s="500">
        <v>0.84399999999999997</v>
      </c>
      <c r="H35" s="500">
        <v>0.65500000000000003</v>
      </c>
      <c r="I35" s="500">
        <v>0.21</v>
      </c>
      <c r="J35" s="500">
        <v>0.16</v>
      </c>
      <c r="K35" s="500">
        <v>1.2889999999999999</v>
      </c>
      <c r="L35" s="500">
        <v>0.189</v>
      </c>
      <c r="M35" s="502">
        <v>38.86</v>
      </c>
    </row>
    <row r="36" spans="1:13" ht="14.25" customHeight="1" thickBot="1" x14ac:dyDescent="0.3">
      <c r="A36" s="512" t="s">
        <v>893</v>
      </c>
      <c r="B36" s="513">
        <v>1.24</v>
      </c>
      <c r="C36"/>
      <c r="E36" s="501" t="s">
        <v>938</v>
      </c>
      <c r="F36" s="500" t="s">
        <v>939</v>
      </c>
      <c r="G36" s="500">
        <v>1.02</v>
      </c>
      <c r="H36" s="500">
        <v>0.72</v>
      </c>
      <c r="I36" s="500">
        <v>0.24</v>
      </c>
      <c r="J36" s="500">
        <v>0.17</v>
      </c>
      <c r="K36" s="500">
        <v>1.4</v>
      </c>
      <c r="L36" s="500">
        <v>0.29699999999999999</v>
      </c>
      <c r="M36" s="502">
        <v>55.14</v>
      </c>
    </row>
    <row r="37" spans="1:13" ht="14.25" customHeight="1" thickBot="1" x14ac:dyDescent="0.3">
      <c r="A37" s="512" t="s">
        <v>894</v>
      </c>
      <c r="B37" s="513">
        <v>1.66</v>
      </c>
      <c r="C37"/>
      <c r="E37" s="501" t="s">
        <v>940</v>
      </c>
      <c r="F37" s="500" t="s">
        <v>982</v>
      </c>
      <c r="G37" s="500">
        <v>0.67</v>
      </c>
      <c r="H37" s="500">
        <v>0.55000000000000004</v>
      </c>
      <c r="I37" s="500">
        <v>0.16</v>
      </c>
      <c r="J37" s="500">
        <v>0.13</v>
      </c>
      <c r="K37" s="500">
        <v>1.21</v>
      </c>
      <c r="L37" s="500">
        <v>0.12</v>
      </c>
      <c r="M37" s="502"/>
    </row>
    <row r="38" spans="1:13" ht="14.25" customHeight="1" thickBot="1" x14ac:dyDescent="0.3">
      <c r="A38" s="512" t="s">
        <v>895</v>
      </c>
      <c r="B38" s="513">
        <v>1.05</v>
      </c>
      <c r="C38"/>
      <c r="E38" s="501" t="s">
        <v>889</v>
      </c>
      <c r="F38" s="500" t="s">
        <v>983</v>
      </c>
      <c r="G38" s="500">
        <v>0.48</v>
      </c>
      <c r="H38" s="500">
        <v>0.36</v>
      </c>
      <c r="I38" s="500">
        <v>0.12</v>
      </c>
      <c r="J38" s="500">
        <v>0.09</v>
      </c>
      <c r="K38" s="500">
        <v>1.34</v>
      </c>
      <c r="L38" s="500">
        <v>0.12</v>
      </c>
      <c r="M38" s="502"/>
    </row>
    <row r="39" spans="1:13" ht="14.25" customHeight="1" thickBot="1" x14ac:dyDescent="0.3">
      <c r="A39" s="512" t="s">
        <v>896</v>
      </c>
      <c r="B39" s="513">
        <v>1.06</v>
      </c>
      <c r="C39"/>
      <c r="E39" s="501" t="s">
        <v>941</v>
      </c>
      <c r="F39" s="500" t="s">
        <v>984</v>
      </c>
      <c r="G39" s="500">
        <v>0.63</v>
      </c>
      <c r="H39" s="500">
        <v>0.55000000000000004</v>
      </c>
      <c r="I39" s="500">
        <v>0.15</v>
      </c>
      <c r="J39" s="500">
        <v>0.13</v>
      </c>
      <c r="K39" s="500">
        <v>1.1499999999999999</v>
      </c>
      <c r="L39" s="500">
        <v>0.08</v>
      </c>
      <c r="M39" s="502"/>
    </row>
    <row r="40" spans="1:13" ht="14.25" customHeight="1" thickBot="1" x14ac:dyDescent="0.3">
      <c r="A40" s="512" t="s">
        <v>897</v>
      </c>
      <c r="B40" s="513">
        <v>1.41</v>
      </c>
      <c r="C40"/>
      <c r="E40" s="501" t="s">
        <v>942</v>
      </c>
      <c r="F40" s="500"/>
      <c r="G40" s="500">
        <v>2.14</v>
      </c>
      <c r="H40" s="500">
        <v>1.59</v>
      </c>
      <c r="I40" s="500"/>
      <c r="J40" s="500"/>
      <c r="K40" s="500"/>
      <c r="L40" s="500"/>
      <c r="M40" s="502"/>
    </row>
    <row r="41" spans="1:13" ht="14.25" customHeight="1" thickBot="1" x14ac:dyDescent="0.3">
      <c r="A41" s="512" t="s">
        <v>898</v>
      </c>
      <c r="B41" s="513">
        <v>1.41</v>
      </c>
      <c r="C41"/>
      <c r="E41" s="501" t="s">
        <v>943</v>
      </c>
      <c r="F41" s="500"/>
      <c r="G41" s="500">
        <v>1</v>
      </c>
      <c r="H41" s="500"/>
      <c r="I41" s="500">
        <v>0.24</v>
      </c>
      <c r="J41" s="500"/>
      <c r="K41" s="500"/>
      <c r="L41" s="500"/>
      <c r="M41" s="502"/>
    </row>
    <row r="42" spans="1:13" ht="14.25" customHeight="1" thickBot="1" x14ac:dyDescent="0.3">
      <c r="A42" s="512" t="s">
        <v>899</v>
      </c>
      <c r="B42" s="513">
        <v>1.41</v>
      </c>
      <c r="C42"/>
      <c r="E42" s="501" t="s">
        <v>890</v>
      </c>
      <c r="F42" s="500" t="s">
        <v>985</v>
      </c>
      <c r="G42" s="500">
        <v>1.75</v>
      </c>
      <c r="H42" s="500">
        <v>1.48</v>
      </c>
      <c r="I42" s="500">
        <v>0.39</v>
      </c>
      <c r="J42" s="500">
        <v>0.32</v>
      </c>
      <c r="K42" s="500">
        <v>1.1870000000000001</v>
      </c>
      <c r="L42" s="500">
        <v>0.27600000000000002</v>
      </c>
      <c r="M42" s="502">
        <v>51.5</v>
      </c>
    </row>
    <row r="43" spans="1:13" ht="14.25" customHeight="1" thickBot="1" x14ac:dyDescent="0.3">
      <c r="A43" s="512" t="s">
        <v>900</v>
      </c>
      <c r="B43" s="513">
        <v>1.32</v>
      </c>
      <c r="C43"/>
      <c r="E43" s="501" t="s">
        <v>944</v>
      </c>
      <c r="F43" s="500" t="s">
        <v>986</v>
      </c>
      <c r="G43" s="500">
        <v>2.0099999999999998</v>
      </c>
      <c r="H43" s="500">
        <v>1.95</v>
      </c>
      <c r="I43" s="500">
        <v>0.48</v>
      </c>
      <c r="J43" s="500">
        <v>0.47</v>
      </c>
      <c r="K43" s="500">
        <v>1.03</v>
      </c>
      <c r="L43" s="500">
        <v>0.06</v>
      </c>
      <c r="M43" s="502"/>
    </row>
    <row r="44" spans="1:13" ht="14.25" customHeight="1" thickBot="1" x14ac:dyDescent="0.3">
      <c r="A44" s="512" t="s">
        <v>901</v>
      </c>
      <c r="B44" s="513">
        <v>1.32</v>
      </c>
      <c r="C44"/>
      <c r="E44" s="501" t="s">
        <v>893</v>
      </c>
      <c r="F44" s="500" t="s">
        <v>987</v>
      </c>
      <c r="G44" s="500">
        <v>1.53</v>
      </c>
      <c r="H44" s="500">
        <v>1.23</v>
      </c>
      <c r="I44" s="500">
        <v>0.4</v>
      </c>
      <c r="J44" s="500">
        <v>0.33</v>
      </c>
      <c r="K44" s="500">
        <v>1.24</v>
      </c>
      <c r="L44" s="500">
        <v>0.29599999999999999</v>
      </c>
      <c r="M44" s="502">
        <v>55.08</v>
      </c>
    </row>
    <row r="45" spans="1:13" ht="14.25" customHeight="1" thickBot="1" x14ac:dyDescent="0.3">
      <c r="A45" s="512" t="s">
        <v>902</v>
      </c>
      <c r="B45" s="513">
        <v>1.2</v>
      </c>
      <c r="C45"/>
      <c r="E45" s="501" t="s">
        <v>945</v>
      </c>
      <c r="F45" s="500" t="s">
        <v>988</v>
      </c>
      <c r="G45" s="500"/>
      <c r="H45" s="500"/>
      <c r="I45" s="500"/>
      <c r="J45" s="500"/>
      <c r="K45" s="500">
        <v>1.18</v>
      </c>
      <c r="L45" s="500"/>
      <c r="M45" s="502"/>
    </row>
    <row r="46" spans="1:13" ht="14.25" customHeight="1" thickBot="1" x14ac:dyDescent="0.3">
      <c r="A46" s="512" t="s">
        <v>903</v>
      </c>
      <c r="B46" s="513">
        <v>1.08</v>
      </c>
      <c r="C46"/>
      <c r="E46" s="501" t="s">
        <v>894</v>
      </c>
      <c r="F46" s="500" t="s">
        <v>946</v>
      </c>
      <c r="G46" s="500">
        <v>5.19</v>
      </c>
      <c r="H46" s="500">
        <v>3.12</v>
      </c>
      <c r="I46" s="500">
        <v>1.25</v>
      </c>
      <c r="J46" s="500">
        <v>0.75</v>
      </c>
      <c r="K46" s="500">
        <v>1.667</v>
      </c>
      <c r="L46" s="500">
        <v>2.08</v>
      </c>
      <c r="M46" s="502">
        <v>386.3</v>
      </c>
    </row>
    <row r="47" spans="1:13" ht="14.25" customHeight="1" thickBot="1" x14ac:dyDescent="0.3">
      <c r="A47" s="512" t="s">
        <v>904</v>
      </c>
      <c r="B47" s="513">
        <v>1.2</v>
      </c>
      <c r="C47"/>
      <c r="E47" s="501" t="s">
        <v>896</v>
      </c>
      <c r="F47" s="500" t="s">
        <v>989</v>
      </c>
      <c r="G47" s="500"/>
      <c r="H47" s="500"/>
      <c r="I47" s="500"/>
      <c r="J47" s="500"/>
      <c r="K47" s="500">
        <v>1.06</v>
      </c>
      <c r="L47" s="500"/>
      <c r="M47" s="502"/>
    </row>
    <row r="48" spans="1:13" ht="14.25" customHeight="1" thickBot="1" x14ac:dyDescent="0.3">
      <c r="A48" s="512" t="s">
        <v>905</v>
      </c>
      <c r="B48" s="513">
        <v>1.32</v>
      </c>
      <c r="C48"/>
      <c r="E48" s="501" t="s">
        <v>897</v>
      </c>
      <c r="F48" s="500"/>
      <c r="G48" s="500">
        <v>0.79500000000000004</v>
      </c>
      <c r="H48" s="500">
        <v>0.56699999999999995</v>
      </c>
      <c r="I48" s="500"/>
      <c r="J48" s="500"/>
      <c r="K48" s="500"/>
      <c r="L48" s="500"/>
      <c r="M48" s="502"/>
    </row>
    <row r="49" spans="1:13" ht="14.25" customHeight="1" thickBot="1" x14ac:dyDescent="0.3">
      <c r="A49" s="512" t="s">
        <v>906</v>
      </c>
      <c r="B49" s="513">
        <v>1.4</v>
      </c>
      <c r="C49"/>
      <c r="E49" s="501" t="s">
        <v>898</v>
      </c>
      <c r="F49" s="500" t="s">
        <v>990</v>
      </c>
      <c r="G49" s="500">
        <v>14.32</v>
      </c>
      <c r="H49" s="500">
        <v>10.16</v>
      </c>
      <c r="I49" s="500">
        <v>3.42</v>
      </c>
      <c r="J49" s="500">
        <v>2.4300000000000002</v>
      </c>
      <c r="K49" s="500">
        <v>1.405</v>
      </c>
      <c r="L49" s="500">
        <v>4.12</v>
      </c>
      <c r="M49" s="502">
        <v>765.9</v>
      </c>
    </row>
    <row r="50" spans="1:13" ht="14.25" customHeight="1" thickBot="1" x14ac:dyDescent="0.3">
      <c r="A50" s="512" t="s">
        <v>258</v>
      </c>
      <c r="B50" s="513">
        <v>1.4</v>
      </c>
      <c r="C50"/>
      <c r="E50" s="501" t="s">
        <v>947</v>
      </c>
      <c r="F50" s="500" t="s">
        <v>948</v>
      </c>
      <c r="G50" s="500">
        <v>0.8</v>
      </c>
      <c r="H50" s="500">
        <v>0.56999999999999995</v>
      </c>
      <c r="I50" s="500">
        <v>0.191</v>
      </c>
      <c r="J50" s="500">
        <v>0.13500000000000001</v>
      </c>
      <c r="K50" s="500">
        <v>1.41</v>
      </c>
      <c r="L50" s="500">
        <v>0.23</v>
      </c>
      <c r="M50" s="502">
        <v>42.4</v>
      </c>
    </row>
    <row r="51" spans="1:13" ht="14.25" customHeight="1" thickBot="1" x14ac:dyDescent="0.3">
      <c r="A51" s="512" t="s">
        <v>907</v>
      </c>
      <c r="B51" s="513">
        <v>1.31</v>
      </c>
      <c r="C51"/>
      <c r="E51" s="501" t="s">
        <v>949</v>
      </c>
      <c r="F51" s="500" t="s">
        <v>991</v>
      </c>
      <c r="G51" s="500"/>
      <c r="H51" s="500"/>
      <c r="I51" s="500">
        <v>0.24299999999999999</v>
      </c>
      <c r="J51" s="500">
        <v>0.187</v>
      </c>
      <c r="K51" s="500">
        <v>1.32</v>
      </c>
      <c r="L51" s="500"/>
      <c r="M51" s="502">
        <v>45.2</v>
      </c>
    </row>
    <row r="52" spans="1:13" ht="14.25" customHeight="1" thickBot="1" x14ac:dyDescent="0.3">
      <c r="A52" s="512" t="s">
        <v>908</v>
      </c>
      <c r="B52" s="513">
        <v>1.05</v>
      </c>
      <c r="C52"/>
      <c r="E52" s="501" t="s">
        <v>950</v>
      </c>
      <c r="F52" s="500" t="s">
        <v>951</v>
      </c>
      <c r="G52" s="500">
        <v>1.76</v>
      </c>
      <c r="H52" s="500">
        <v>1.27</v>
      </c>
      <c r="I52" s="500"/>
      <c r="J52" s="500"/>
      <c r="K52" s="500">
        <v>1.3839999999999999</v>
      </c>
      <c r="L52" s="500">
        <v>0.48899999999999999</v>
      </c>
      <c r="M52" s="502"/>
    </row>
    <row r="53" spans="1:13" ht="14.25" customHeight="1" thickBot="1" x14ac:dyDescent="0.3">
      <c r="A53" s="512" t="s">
        <v>265</v>
      </c>
      <c r="B53" s="513">
        <v>1.4</v>
      </c>
      <c r="C53"/>
      <c r="E53" s="501" t="s">
        <v>952</v>
      </c>
      <c r="F53" s="500" t="s">
        <v>953</v>
      </c>
      <c r="G53" s="500">
        <v>0.25</v>
      </c>
      <c r="H53" s="500">
        <v>0.151</v>
      </c>
      <c r="I53" s="500"/>
      <c r="J53" s="500"/>
      <c r="K53" s="500"/>
      <c r="L53" s="500"/>
      <c r="M53" s="502"/>
    </row>
    <row r="54" spans="1:13" ht="14.25" customHeight="1" thickBot="1" x14ac:dyDescent="0.3">
      <c r="A54" s="512" t="s">
        <v>909</v>
      </c>
      <c r="B54" s="513">
        <v>1.08</v>
      </c>
      <c r="C54"/>
      <c r="E54" s="501" t="s">
        <v>901</v>
      </c>
      <c r="F54" s="500" t="s">
        <v>992</v>
      </c>
      <c r="G54" s="500">
        <v>2.2200000000000002</v>
      </c>
      <c r="H54" s="500">
        <v>1.7</v>
      </c>
      <c r="I54" s="500">
        <v>0.59</v>
      </c>
      <c r="J54" s="500">
        <v>0.45</v>
      </c>
      <c r="K54" s="500">
        <v>1.304</v>
      </c>
      <c r="L54" s="500">
        <v>0.51800000000000002</v>
      </c>
      <c r="M54" s="502">
        <v>96.4</v>
      </c>
    </row>
    <row r="55" spans="1:13" ht="14.25" customHeight="1" thickBot="1" x14ac:dyDescent="0.3">
      <c r="A55" s="512" t="s">
        <v>910</v>
      </c>
      <c r="B55" s="513">
        <v>1.08</v>
      </c>
      <c r="C55"/>
      <c r="E55" s="501" t="s">
        <v>954</v>
      </c>
      <c r="F55" s="500" t="s">
        <v>993</v>
      </c>
      <c r="G55" s="500"/>
      <c r="H55" s="500"/>
      <c r="I55" s="500">
        <v>0.24</v>
      </c>
      <c r="J55" s="500">
        <v>0.2</v>
      </c>
      <c r="K55" s="500">
        <v>1.2</v>
      </c>
      <c r="L55" s="500"/>
      <c r="M55" s="502">
        <v>30.6</v>
      </c>
    </row>
    <row r="56" spans="1:13" ht="14.25" customHeight="1" thickBot="1" x14ac:dyDescent="0.3">
      <c r="A56" s="512" t="s">
        <v>911</v>
      </c>
      <c r="B56" s="513">
        <v>1.1299999999999999</v>
      </c>
      <c r="C56"/>
      <c r="E56" s="501" t="s">
        <v>955</v>
      </c>
      <c r="F56" s="500"/>
      <c r="G56" s="500">
        <v>2.34</v>
      </c>
      <c r="H56" s="500">
        <v>1.85</v>
      </c>
      <c r="I56" s="500">
        <v>0.56000000000000005</v>
      </c>
      <c r="J56" s="500">
        <v>0.44</v>
      </c>
      <c r="K56" s="500">
        <v>1.27</v>
      </c>
      <c r="L56" s="500">
        <v>0.5</v>
      </c>
      <c r="M56" s="502">
        <v>79.099999999999994</v>
      </c>
    </row>
    <row r="57" spans="1:13" ht="14.25" customHeight="1" thickBot="1" x14ac:dyDescent="0.3">
      <c r="A57" s="512" t="s">
        <v>912</v>
      </c>
      <c r="B57" s="513">
        <v>1.1399999999999999</v>
      </c>
      <c r="C57"/>
      <c r="E57" s="501" t="s">
        <v>956</v>
      </c>
      <c r="F57" s="500" t="s">
        <v>957</v>
      </c>
      <c r="G57" s="500">
        <v>1.03</v>
      </c>
      <c r="H57" s="500">
        <v>0.61799999999999999</v>
      </c>
      <c r="I57" s="500"/>
      <c r="J57" s="500"/>
      <c r="K57" s="500">
        <v>1.667</v>
      </c>
      <c r="L57" s="500">
        <v>0.41199999999999998</v>
      </c>
      <c r="M57" s="502"/>
    </row>
    <row r="58" spans="1:13" ht="14.25" customHeight="1" thickBot="1" x14ac:dyDescent="0.3">
      <c r="A58" s="512" t="s">
        <v>913</v>
      </c>
      <c r="B58" s="513">
        <v>1.1399999999999999</v>
      </c>
      <c r="C58"/>
      <c r="E58" s="501" t="s">
        <v>958</v>
      </c>
      <c r="F58" s="500" t="s">
        <v>959</v>
      </c>
      <c r="G58" s="500">
        <v>0.995</v>
      </c>
      <c r="H58" s="500">
        <v>0.71799999999999997</v>
      </c>
      <c r="I58" s="500">
        <v>0.23</v>
      </c>
      <c r="J58" s="500">
        <v>0.17</v>
      </c>
      <c r="K58" s="500">
        <v>1.3859999999999999</v>
      </c>
      <c r="L58" s="500">
        <v>0.27700000000000002</v>
      </c>
      <c r="M58" s="502"/>
    </row>
    <row r="59" spans="1:13" ht="14.25" customHeight="1" thickBot="1" x14ac:dyDescent="0.3">
      <c r="A59" s="512" t="s">
        <v>914</v>
      </c>
      <c r="B59" s="513">
        <v>1.18</v>
      </c>
      <c r="C59"/>
      <c r="E59" s="501" t="s">
        <v>258</v>
      </c>
      <c r="F59" s="500" t="s">
        <v>994</v>
      </c>
      <c r="G59" s="500">
        <v>1.04</v>
      </c>
      <c r="H59" s="500">
        <v>0.74299999999999999</v>
      </c>
      <c r="I59" s="500">
        <v>0.25</v>
      </c>
      <c r="J59" s="500">
        <v>0.18</v>
      </c>
      <c r="K59" s="500">
        <v>1.4</v>
      </c>
      <c r="L59" s="500">
        <v>0.29699999999999999</v>
      </c>
      <c r="M59" s="502">
        <v>54.99</v>
      </c>
    </row>
    <row r="60" spans="1:13" ht="14.25" customHeight="1" thickBot="1" x14ac:dyDescent="0.3">
      <c r="A60" s="512" t="s">
        <v>915</v>
      </c>
      <c r="B60" s="513">
        <v>1.0900000000000001</v>
      </c>
      <c r="C60"/>
      <c r="E60" s="501" t="s">
        <v>960</v>
      </c>
      <c r="F60" s="500" t="s">
        <v>995</v>
      </c>
      <c r="G60" s="500">
        <v>4.6900000000000004</v>
      </c>
      <c r="H60" s="500">
        <v>4.5999999999999996</v>
      </c>
      <c r="I60" s="500">
        <v>1.1200000000000001</v>
      </c>
      <c r="J60" s="500">
        <v>1.1000000000000001</v>
      </c>
      <c r="K60" s="500">
        <v>1.02</v>
      </c>
      <c r="L60" s="500">
        <v>0.09</v>
      </c>
      <c r="M60" s="502"/>
    </row>
    <row r="61" spans="1:13" ht="14.25" customHeight="1" thickBot="1" x14ac:dyDescent="0.3">
      <c r="A61" s="512" t="s">
        <v>916</v>
      </c>
      <c r="B61" s="513">
        <v>1.1000000000000001</v>
      </c>
      <c r="C61"/>
      <c r="E61" s="501" t="s">
        <v>907</v>
      </c>
      <c r="F61" s="500" t="s">
        <v>996</v>
      </c>
      <c r="G61" s="500">
        <v>0.88</v>
      </c>
      <c r="H61" s="500">
        <v>0.69</v>
      </c>
      <c r="I61" s="500">
        <v>0.21</v>
      </c>
      <c r="J61" s="500">
        <v>0.17</v>
      </c>
      <c r="K61" s="500">
        <v>1.27</v>
      </c>
      <c r="L61" s="500">
        <v>0.18</v>
      </c>
      <c r="M61" s="502">
        <v>35.1</v>
      </c>
    </row>
    <row r="62" spans="1:13" ht="14.25" customHeight="1" thickBot="1" x14ac:dyDescent="0.3">
      <c r="A62" s="512" t="s">
        <v>917</v>
      </c>
      <c r="B62" s="513">
        <v>1.2</v>
      </c>
      <c r="C62"/>
      <c r="E62" s="501" t="s">
        <v>265</v>
      </c>
      <c r="F62" s="500" t="s">
        <v>997</v>
      </c>
      <c r="G62" s="500">
        <v>0.91900000000000004</v>
      </c>
      <c r="H62" s="500">
        <v>0.65900000000000003</v>
      </c>
      <c r="I62" s="500">
        <v>0.22</v>
      </c>
      <c r="J62" s="500">
        <v>0.16</v>
      </c>
      <c r="K62" s="500">
        <v>1.395</v>
      </c>
      <c r="L62" s="500">
        <v>0.26</v>
      </c>
      <c r="M62" s="502">
        <v>48.24</v>
      </c>
    </row>
    <row r="63" spans="1:13" ht="14.25" customHeight="1" thickBot="1" x14ac:dyDescent="0.3">
      <c r="A63" s="512" t="s">
        <v>918</v>
      </c>
      <c r="B63" s="513">
        <v>1.33</v>
      </c>
      <c r="C63"/>
      <c r="E63" s="501" t="s">
        <v>961</v>
      </c>
      <c r="F63" s="500" t="s">
        <v>998</v>
      </c>
      <c r="G63" s="500"/>
      <c r="H63" s="500"/>
      <c r="I63" s="500"/>
      <c r="J63" s="500"/>
      <c r="K63" s="500">
        <v>1.07</v>
      </c>
      <c r="L63" s="500"/>
      <c r="M63" s="502"/>
    </row>
    <row r="64" spans="1:13" ht="14.25" customHeight="1" thickBot="1" x14ac:dyDescent="0.3">
      <c r="A64" s="512" t="s">
        <v>919</v>
      </c>
      <c r="B64" s="513">
        <v>1.26</v>
      </c>
      <c r="C64"/>
      <c r="E64" s="501" t="s">
        <v>911</v>
      </c>
      <c r="F64" s="500" t="s">
        <v>999</v>
      </c>
      <c r="G64" s="500">
        <v>1.67</v>
      </c>
      <c r="H64" s="500">
        <v>1.48</v>
      </c>
      <c r="I64" s="500">
        <v>0.39</v>
      </c>
      <c r="J64" s="500">
        <v>0.34</v>
      </c>
      <c r="K64" s="500">
        <v>1.1299999999999999</v>
      </c>
      <c r="L64" s="500">
        <v>0.189</v>
      </c>
      <c r="M64" s="502">
        <v>35</v>
      </c>
    </row>
    <row r="65" spans="1:13" ht="14.25" customHeight="1" thickBot="1" x14ac:dyDescent="0.3">
      <c r="A65" s="514" t="s">
        <v>920</v>
      </c>
      <c r="B65" s="515">
        <v>1.0900000000000001</v>
      </c>
      <c r="C65"/>
      <c r="E65" s="501" t="s">
        <v>962</v>
      </c>
      <c r="F65" s="500" t="s">
        <v>1000</v>
      </c>
      <c r="G65" s="500">
        <v>1.5</v>
      </c>
      <c r="H65" s="500">
        <v>1.31</v>
      </c>
      <c r="I65" s="500">
        <v>0.36</v>
      </c>
      <c r="J65" s="500">
        <v>0.31</v>
      </c>
      <c r="K65" s="500">
        <v>1.1499999999999999</v>
      </c>
      <c r="L65" s="500">
        <v>0.18</v>
      </c>
      <c r="M65" s="502">
        <v>36.799999999999997</v>
      </c>
    </row>
    <row r="66" spans="1:13" ht="14.25" customHeight="1" x14ac:dyDescent="0.25">
      <c r="E66" s="536" t="s">
        <v>963</v>
      </c>
      <c r="F66" s="537" t="s">
        <v>1001</v>
      </c>
      <c r="G66" s="537">
        <v>1.93</v>
      </c>
      <c r="H66" s="537">
        <v>1.46</v>
      </c>
      <c r="I66" s="537">
        <v>0.46</v>
      </c>
      <c r="J66" s="537">
        <v>0.35</v>
      </c>
      <c r="K66" s="537">
        <v>1.32</v>
      </c>
      <c r="L66" s="537">
        <v>0.46200000000000002</v>
      </c>
      <c r="M66" s="538"/>
    </row>
    <row r="67" spans="1:13" ht="14.5" customHeight="1" thickBot="1" x14ac:dyDescent="0.3">
      <c r="E67" s="539" t="s">
        <v>1003</v>
      </c>
      <c r="F67" s="540"/>
      <c r="G67" s="540"/>
      <c r="H67" s="540"/>
      <c r="I67" s="540"/>
      <c r="J67" s="540"/>
      <c r="K67" s="540"/>
      <c r="L67" s="540"/>
      <c r="M67" s="541"/>
    </row>
    <row r="68" spans="1:13" ht="14.5" customHeight="1" thickBot="1" x14ac:dyDescent="0.3">
      <c r="E68" s="501" t="s">
        <v>1004</v>
      </c>
      <c r="F68" s="500" t="s">
        <v>1001</v>
      </c>
      <c r="G68" s="500">
        <v>1.97</v>
      </c>
      <c r="H68" s="500">
        <v>1.5</v>
      </c>
      <c r="I68" s="500">
        <v>0.47</v>
      </c>
      <c r="J68" s="500">
        <v>0.36</v>
      </c>
      <c r="K68" s="500">
        <v>1.31</v>
      </c>
      <c r="L68" s="500">
        <v>0.46</v>
      </c>
      <c r="M68" s="502"/>
    </row>
    <row r="69" spans="1:13" ht="14.5" customHeight="1" thickBot="1" x14ac:dyDescent="0.3">
      <c r="E69" s="501" t="s">
        <v>1005</v>
      </c>
      <c r="F69" s="500" t="s">
        <v>1001</v>
      </c>
      <c r="G69" s="500">
        <v>2.2599999999999998</v>
      </c>
      <c r="H69" s="500">
        <v>1.76</v>
      </c>
      <c r="I69" s="500">
        <v>0.54</v>
      </c>
      <c r="J69" s="500">
        <v>0.42</v>
      </c>
      <c r="K69" s="500">
        <v>1.28</v>
      </c>
      <c r="L69" s="500">
        <v>0.5</v>
      </c>
      <c r="M69" s="502"/>
    </row>
    <row r="70" spans="1:13" ht="14.5" customHeight="1" thickBot="1" x14ac:dyDescent="0.3">
      <c r="E70" s="501" t="s">
        <v>964</v>
      </c>
      <c r="F70" s="500" t="s">
        <v>1002</v>
      </c>
      <c r="G70" s="500">
        <v>0.64</v>
      </c>
      <c r="H70" s="500">
        <v>0.51</v>
      </c>
      <c r="I70" s="500">
        <v>0.15</v>
      </c>
      <c r="J70" s="500">
        <v>0.12</v>
      </c>
      <c r="K70" s="500">
        <v>1.29</v>
      </c>
      <c r="L70" s="500">
        <v>0.13</v>
      </c>
      <c r="M70" s="502">
        <v>24.1</v>
      </c>
    </row>
    <row r="71" spans="1:13" ht="14.25" customHeight="1" thickBot="1" x14ac:dyDescent="0.3">
      <c r="E71" s="503" t="s">
        <v>965</v>
      </c>
      <c r="F71" s="504" t="s">
        <v>966</v>
      </c>
      <c r="G71" s="504">
        <v>0.16</v>
      </c>
      <c r="H71" s="504">
        <v>9.7000000000000003E-2</v>
      </c>
      <c r="I71" s="504"/>
      <c r="J71" s="504"/>
      <c r="K71" s="504"/>
      <c r="L71" s="504"/>
      <c r="M71" s="542"/>
    </row>
  </sheetData>
  <mergeCells count="5">
    <mergeCell ref="R3:R5"/>
    <mergeCell ref="P3:P5"/>
    <mergeCell ref="Q3:Q5"/>
    <mergeCell ref="A19:A20"/>
    <mergeCell ref="I3:J7"/>
  </mergeCells>
  <pageMargins left="0.7" right="0.7" top="0.75" bottom="0.75" header="0.3" footer="0.3"/>
  <pageSetup orientation="portrait" horizontalDpi="0"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1"/>
  <sheetViews>
    <sheetView workbookViewId="0">
      <selection activeCell="B12" sqref="B12:G22"/>
    </sheetView>
  </sheetViews>
  <sheetFormatPr defaultRowHeight="15.5" x14ac:dyDescent="0.35"/>
  <cols>
    <col min="1" max="1" width="11" style="13" customWidth="1"/>
    <col min="2" max="2" width="29.54296875" style="13" customWidth="1"/>
    <col min="3" max="3" width="15.90625" style="13" bestFit="1" customWidth="1"/>
    <col min="4" max="5" width="29.08984375" style="13" bestFit="1" customWidth="1"/>
    <col min="6" max="6" width="28.54296875" style="13" customWidth="1"/>
    <col min="7" max="7" width="29.08984375" style="13" bestFit="1" customWidth="1"/>
    <col min="8" max="8" width="10.54296875" style="13" customWidth="1"/>
    <col min="9" max="9" width="15.54296875" style="13" customWidth="1"/>
    <col min="10" max="256" width="9.08984375" style="13"/>
    <col min="257" max="257" width="11" style="13" customWidth="1"/>
    <col min="258" max="258" width="27.08984375" style="13" customWidth="1"/>
    <col min="259" max="259" width="15.90625" style="13" bestFit="1" customWidth="1"/>
    <col min="260" max="260" width="16.08984375" style="13" customWidth="1"/>
    <col min="261" max="261" width="9.36328125" style="13" bestFit="1" customWidth="1"/>
    <col min="262" max="262" width="25" style="13" customWidth="1"/>
    <col min="263" max="263" width="12.453125" style="13" customWidth="1"/>
    <col min="264" max="264" width="10.54296875" style="13" customWidth="1"/>
    <col min="265" max="265" width="15.54296875" style="13" customWidth="1"/>
    <col min="266" max="512" width="9.08984375" style="13"/>
    <col min="513" max="513" width="11" style="13" customWidth="1"/>
    <col min="514" max="514" width="27.08984375" style="13" customWidth="1"/>
    <col min="515" max="515" width="15.90625" style="13" bestFit="1" customWidth="1"/>
    <col min="516" max="516" width="16.08984375" style="13" customWidth="1"/>
    <col min="517" max="517" width="9.36328125" style="13" bestFit="1" customWidth="1"/>
    <col min="518" max="518" width="25" style="13" customWidth="1"/>
    <col min="519" max="519" width="12.453125" style="13" customWidth="1"/>
    <col min="520" max="520" width="10.54296875" style="13" customWidth="1"/>
    <col min="521" max="521" width="15.54296875" style="13" customWidth="1"/>
    <col min="522" max="768" width="9.08984375" style="13"/>
    <col min="769" max="769" width="11" style="13" customWidth="1"/>
    <col min="770" max="770" width="27.08984375" style="13" customWidth="1"/>
    <col min="771" max="771" width="15.90625" style="13" bestFit="1" customWidth="1"/>
    <col min="772" max="772" width="16.08984375" style="13" customWidth="1"/>
    <col min="773" max="773" width="9.36328125" style="13" bestFit="1" customWidth="1"/>
    <col min="774" max="774" width="25" style="13" customWidth="1"/>
    <col min="775" max="775" width="12.453125" style="13" customWidth="1"/>
    <col min="776" max="776" width="10.54296875" style="13" customWidth="1"/>
    <col min="777" max="777" width="15.54296875" style="13" customWidth="1"/>
    <col min="778" max="1024" width="9.08984375" style="13"/>
    <col min="1025" max="1025" width="11" style="13" customWidth="1"/>
    <col min="1026" max="1026" width="27.08984375" style="13" customWidth="1"/>
    <col min="1027" max="1027" width="15.90625" style="13" bestFit="1" customWidth="1"/>
    <col min="1028" max="1028" width="16.08984375" style="13" customWidth="1"/>
    <col min="1029" max="1029" width="9.36328125" style="13" bestFit="1" customWidth="1"/>
    <col min="1030" max="1030" width="25" style="13" customWidth="1"/>
    <col min="1031" max="1031" width="12.453125" style="13" customWidth="1"/>
    <col min="1032" max="1032" width="10.54296875" style="13" customWidth="1"/>
    <col min="1033" max="1033" width="15.54296875" style="13" customWidth="1"/>
    <col min="1034" max="1280" width="9.08984375" style="13"/>
    <col min="1281" max="1281" width="11" style="13" customWidth="1"/>
    <col min="1282" max="1282" width="27.08984375" style="13" customWidth="1"/>
    <col min="1283" max="1283" width="15.90625" style="13" bestFit="1" customWidth="1"/>
    <col min="1284" max="1284" width="16.08984375" style="13" customWidth="1"/>
    <col min="1285" max="1285" width="9.36328125" style="13" bestFit="1" customWidth="1"/>
    <col min="1286" max="1286" width="25" style="13" customWidth="1"/>
    <col min="1287" max="1287" width="12.453125" style="13" customWidth="1"/>
    <col min="1288" max="1288" width="10.54296875" style="13" customWidth="1"/>
    <col min="1289" max="1289" width="15.54296875" style="13" customWidth="1"/>
    <col min="1290" max="1536" width="9.08984375" style="13"/>
    <col min="1537" max="1537" width="11" style="13" customWidth="1"/>
    <col min="1538" max="1538" width="27.08984375" style="13" customWidth="1"/>
    <col min="1539" max="1539" width="15.90625" style="13" bestFit="1" customWidth="1"/>
    <col min="1540" max="1540" width="16.08984375" style="13" customWidth="1"/>
    <col min="1541" max="1541" width="9.36328125" style="13" bestFit="1" customWidth="1"/>
    <col min="1542" max="1542" width="25" style="13" customWidth="1"/>
    <col min="1543" max="1543" width="12.453125" style="13" customWidth="1"/>
    <col min="1544" max="1544" width="10.54296875" style="13" customWidth="1"/>
    <col min="1545" max="1545" width="15.54296875" style="13" customWidth="1"/>
    <col min="1546" max="1792" width="9.08984375" style="13"/>
    <col min="1793" max="1793" width="11" style="13" customWidth="1"/>
    <col min="1794" max="1794" width="27.08984375" style="13" customWidth="1"/>
    <col min="1795" max="1795" width="15.90625" style="13" bestFit="1" customWidth="1"/>
    <col min="1796" max="1796" width="16.08984375" style="13" customWidth="1"/>
    <col min="1797" max="1797" width="9.36328125" style="13" bestFit="1" customWidth="1"/>
    <col min="1798" max="1798" width="25" style="13" customWidth="1"/>
    <col min="1799" max="1799" width="12.453125" style="13" customWidth="1"/>
    <col min="1800" max="1800" width="10.54296875" style="13" customWidth="1"/>
    <col min="1801" max="1801" width="15.54296875" style="13" customWidth="1"/>
    <col min="1802" max="2048" width="9.08984375" style="13"/>
    <col min="2049" max="2049" width="11" style="13" customWidth="1"/>
    <col min="2050" max="2050" width="27.08984375" style="13" customWidth="1"/>
    <col min="2051" max="2051" width="15.90625" style="13" bestFit="1" customWidth="1"/>
    <col min="2052" max="2052" width="16.08984375" style="13" customWidth="1"/>
    <col min="2053" max="2053" width="9.36328125" style="13" bestFit="1" customWidth="1"/>
    <col min="2054" max="2054" width="25" style="13" customWidth="1"/>
    <col min="2055" max="2055" width="12.453125" style="13" customWidth="1"/>
    <col min="2056" max="2056" width="10.54296875" style="13" customWidth="1"/>
    <col min="2057" max="2057" width="15.54296875" style="13" customWidth="1"/>
    <col min="2058" max="2304" width="9.08984375" style="13"/>
    <col min="2305" max="2305" width="11" style="13" customWidth="1"/>
    <col min="2306" max="2306" width="27.08984375" style="13" customWidth="1"/>
    <col min="2307" max="2307" width="15.90625" style="13" bestFit="1" customWidth="1"/>
    <col min="2308" max="2308" width="16.08984375" style="13" customWidth="1"/>
    <col min="2309" max="2309" width="9.36328125" style="13" bestFit="1" customWidth="1"/>
    <col min="2310" max="2310" width="25" style="13" customWidth="1"/>
    <col min="2311" max="2311" width="12.453125" style="13" customWidth="1"/>
    <col min="2312" max="2312" width="10.54296875" style="13" customWidth="1"/>
    <col min="2313" max="2313" width="15.54296875" style="13" customWidth="1"/>
    <col min="2314" max="2560" width="9.08984375" style="13"/>
    <col min="2561" max="2561" width="11" style="13" customWidth="1"/>
    <col min="2562" max="2562" width="27.08984375" style="13" customWidth="1"/>
    <col min="2563" max="2563" width="15.90625" style="13" bestFit="1" customWidth="1"/>
    <col min="2564" max="2564" width="16.08984375" style="13" customWidth="1"/>
    <col min="2565" max="2565" width="9.36328125" style="13" bestFit="1" customWidth="1"/>
    <col min="2566" max="2566" width="25" style="13" customWidth="1"/>
    <col min="2567" max="2567" width="12.453125" style="13" customWidth="1"/>
    <col min="2568" max="2568" width="10.54296875" style="13" customWidth="1"/>
    <col min="2569" max="2569" width="15.54296875" style="13" customWidth="1"/>
    <col min="2570" max="2816" width="9.08984375" style="13"/>
    <col min="2817" max="2817" width="11" style="13" customWidth="1"/>
    <col min="2818" max="2818" width="27.08984375" style="13" customWidth="1"/>
    <col min="2819" max="2819" width="15.90625" style="13" bestFit="1" customWidth="1"/>
    <col min="2820" max="2820" width="16.08984375" style="13" customWidth="1"/>
    <col min="2821" max="2821" width="9.36328125" style="13" bestFit="1" customWidth="1"/>
    <col min="2822" max="2822" width="25" style="13" customWidth="1"/>
    <col min="2823" max="2823" width="12.453125" style="13" customWidth="1"/>
    <col min="2824" max="2824" width="10.54296875" style="13" customWidth="1"/>
    <col min="2825" max="2825" width="15.54296875" style="13" customWidth="1"/>
    <col min="2826" max="3072" width="9.08984375" style="13"/>
    <col min="3073" max="3073" width="11" style="13" customWidth="1"/>
    <col min="3074" max="3074" width="27.08984375" style="13" customWidth="1"/>
    <col min="3075" max="3075" width="15.90625" style="13" bestFit="1" customWidth="1"/>
    <col min="3076" max="3076" width="16.08984375" style="13" customWidth="1"/>
    <col min="3077" max="3077" width="9.36328125" style="13" bestFit="1" customWidth="1"/>
    <col min="3078" max="3078" width="25" style="13" customWidth="1"/>
    <col min="3079" max="3079" width="12.453125" style="13" customWidth="1"/>
    <col min="3080" max="3080" width="10.54296875" style="13" customWidth="1"/>
    <col min="3081" max="3081" width="15.54296875" style="13" customWidth="1"/>
    <col min="3082" max="3328" width="9.08984375" style="13"/>
    <col min="3329" max="3329" width="11" style="13" customWidth="1"/>
    <col min="3330" max="3330" width="27.08984375" style="13" customWidth="1"/>
    <col min="3331" max="3331" width="15.90625" style="13" bestFit="1" customWidth="1"/>
    <col min="3332" max="3332" width="16.08984375" style="13" customWidth="1"/>
    <col min="3333" max="3333" width="9.36328125" style="13" bestFit="1" customWidth="1"/>
    <col min="3334" max="3334" width="25" style="13" customWidth="1"/>
    <col min="3335" max="3335" width="12.453125" style="13" customWidth="1"/>
    <col min="3336" max="3336" width="10.54296875" style="13" customWidth="1"/>
    <col min="3337" max="3337" width="15.54296875" style="13" customWidth="1"/>
    <col min="3338" max="3584" width="9.08984375" style="13"/>
    <col min="3585" max="3585" width="11" style="13" customWidth="1"/>
    <col min="3586" max="3586" width="27.08984375" style="13" customWidth="1"/>
    <col min="3587" max="3587" width="15.90625" style="13" bestFit="1" customWidth="1"/>
    <col min="3588" max="3588" width="16.08984375" style="13" customWidth="1"/>
    <col min="3589" max="3589" width="9.36328125" style="13" bestFit="1" customWidth="1"/>
    <col min="3590" max="3590" width="25" style="13" customWidth="1"/>
    <col min="3591" max="3591" width="12.453125" style="13" customWidth="1"/>
    <col min="3592" max="3592" width="10.54296875" style="13" customWidth="1"/>
    <col min="3593" max="3593" width="15.54296875" style="13" customWidth="1"/>
    <col min="3594" max="3840" width="9.08984375" style="13"/>
    <col min="3841" max="3841" width="11" style="13" customWidth="1"/>
    <col min="3842" max="3842" width="27.08984375" style="13" customWidth="1"/>
    <col min="3843" max="3843" width="15.90625" style="13" bestFit="1" customWidth="1"/>
    <col min="3844" max="3844" width="16.08984375" style="13" customWidth="1"/>
    <col min="3845" max="3845" width="9.36328125" style="13" bestFit="1" customWidth="1"/>
    <col min="3846" max="3846" width="25" style="13" customWidth="1"/>
    <col min="3847" max="3847" width="12.453125" style="13" customWidth="1"/>
    <col min="3848" max="3848" width="10.54296875" style="13" customWidth="1"/>
    <col min="3849" max="3849" width="15.54296875" style="13" customWidth="1"/>
    <col min="3850" max="4096" width="9.08984375" style="13"/>
    <col min="4097" max="4097" width="11" style="13" customWidth="1"/>
    <col min="4098" max="4098" width="27.08984375" style="13" customWidth="1"/>
    <col min="4099" max="4099" width="15.90625" style="13" bestFit="1" customWidth="1"/>
    <col min="4100" max="4100" width="16.08984375" style="13" customWidth="1"/>
    <col min="4101" max="4101" width="9.36328125" style="13" bestFit="1" customWidth="1"/>
    <col min="4102" max="4102" width="25" style="13" customWidth="1"/>
    <col min="4103" max="4103" width="12.453125" style="13" customWidth="1"/>
    <col min="4104" max="4104" width="10.54296875" style="13" customWidth="1"/>
    <col min="4105" max="4105" width="15.54296875" style="13" customWidth="1"/>
    <col min="4106" max="4352" width="9.08984375" style="13"/>
    <col min="4353" max="4353" width="11" style="13" customWidth="1"/>
    <col min="4354" max="4354" width="27.08984375" style="13" customWidth="1"/>
    <col min="4355" max="4355" width="15.90625" style="13" bestFit="1" customWidth="1"/>
    <col min="4356" max="4356" width="16.08984375" style="13" customWidth="1"/>
    <col min="4357" max="4357" width="9.36328125" style="13" bestFit="1" customWidth="1"/>
    <col min="4358" max="4358" width="25" style="13" customWidth="1"/>
    <col min="4359" max="4359" width="12.453125" style="13" customWidth="1"/>
    <col min="4360" max="4360" width="10.54296875" style="13" customWidth="1"/>
    <col min="4361" max="4361" width="15.54296875" style="13" customWidth="1"/>
    <col min="4362" max="4608" width="9.08984375" style="13"/>
    <col min="4609" max="4609" width="11" style="13" customWidth="1"/>
    <col min="4610" max="4610" width="27.08984375" style="13" customWidth="1"/>
    <col min="4611" max="4611" width="15.90625" style="13" bestFit="1" customWidth="1"/>
    <col min="4612" max="4612" width="16.08984375" style="13" customWidth="1"/>
    <col min="4613" max="4613" width="9.36328125" style="13" bestFit="1" customWidth="1"/>
    <col min="4614" max="4614" width="25" style="13" customWidth="1"/>
    <col min="4615" max="4615" width="12.453125" style="13" customWidth="1"/>
    <col min="4616" max="4616" width="10.54296875" style="13" customWidth="1"/>
    <col min="4617" max="4617" width="15.54296875" style="13" customWidth="1"/>
    <col min="4618" max="4864" width="9.08984375" style="13"/>
    <col min="4865" max="4865" width="11" style="13" customWidth="1"/>
    <col min="4866" max="4866" width="27.08984375" style="13" customWidth="1"/>
    <col min="4867" max="4867" width="15.90625" style="13" bestFit="1" customWidth="1"/>
    <col min="4868" max="4868" width="16.08984375" style="13" customWidth="1"/>
    <col min="4869" max="4869" width="9.36328125" style="13" bestFit="1" customWidth="1"/>
    <col min="4870" max="4870" width="25" style="13" customWidth="1"/>
    <col min="4871" max="4871" width="12.453125" style="13" customWidth="1"/>
    <col min="4872" max="4872" width="10.54296875" style="13" customWidth="1"/>
    <col min="4873" max="4873" width="15.54296875" style="13" customWidth="1"/>
    <col min="4874" max="5120" width="9.08984375" style="13"/>
    <col min="5121" max="5121" width="11" style="13" customWidth="1"/>
    <col min="5122" max="5122" width="27.08984375" style="13" customWidth="1"/>
    <col min="5123" max="5123" width="15.90625" style="13" bestFit="1" customWidth="1"/>
    <col min="5124" max="5124" width="16.08984375" style="13" customWidth="1"/>
    <col min="5125" max="5125" width="9.36328125" style="13" bestFit="1" customWidth="1"/>
    <col min="5126" max="5126" width="25" style="13" customWidth="1"/>
    <col min="5127" max="5127" width="12.453125" style="13" customWidth="1"/>
    <col min="5128" max="5128" width="10.54296875" style="13" customWidth="1"/>
    <col min="5129" max="5129" width="15.54296875" style="13" customWidth="1"/>
    <col min="5130" max="5376" width="9.08984375" style="13"/>
    <col min="5377" max="5377" width="11" style="13" customWidth="1"/>
    <col min="5378" max="5378" width="27.08984375" style="13" customWidth="1"/>
    <col min="5379" max="5379" width="15.90625" style="13" bestFit="1" customWidth="1"/>
    <col min="5380" max="5380" width="16.08984375" style="13" customWidth="1"/>
    <col min="5381" max="5381" width="9.36328125" style="13" bestFit="1" customWidth="1"/>
    <col min="5382" max="5382" width="25" style="13" customWidth="1"/>
    <col min="5383" max="5383" width="12.453125" style="13" customWidth="1"/>
    <col min="5384" max="5384" width="10.54296875" style="13" customWidth="1"/>
    <col min="5385" max="5385" width="15.54296875" style="13" customWidth="1"/>
    <col min="5386" max="5632" width="9.08984375" style="13"/>
    <col min="5633" max="5633" width="11" style="13" customWidth="1"/>
    <col min="5634" max="5634" width="27.08984375" style="13" customWidth="1"/>
    <col min="5635" max="5635" width="15.90625" style="13" bestFit="1" customWidth="1"/>
    <col min="5636" max="5636" width="16.08984375" style="13" customWidth="1"/>
    <col min="5637" max="5637" width="9.36328125" style="13" bestFit="1" customWidth="1"/>
    <col min="5638" max="5638" width="25" style="13" customWidth="1"/>
    <col min="5639" max="5639" width="12.453125" style="13" customWidth="1"/>
    <col min="5640" max="5640" width="10.54296875" style="13" customWidth="1"/>
    <col min="5641" max="5641" width="15.54296875" style="13" customWidth="1"/>
    <col min="5642" max="5888" width="9.08984375" style="13"/>
    <col min="5889" max="5889" width="11" style="13" customWidth="1"/>
    <col min="5890" max="5890" width="27.08984375" style="13" customWidth="1"/>
    <col min="5891" max="5891" width="15.90625" style="13" bestFit="1" customWidth="1"/>
    <col min="5892" max="5892" width="16.08984375" style="13" customWidth="1"/>
    <col min="5893" max="5893" width="9.36328125" style="13" bestFit="1" customWidth="1"/>
    <col min="5894" max="5894" width="25" style="13" customWidth="1"/>
    <col min="5895" max="5895" width="12.453125" style="13" customWidth="1"/>
    <col min="5896" max="5896" width="10.54296875" style="13" customWidth="1"/>
    <col min="5897" max="5897" width="15.54296875" style="13" customWidth="1"/>
    <col min="5898" max="6144" width="9.08984375" style="13"/>
    <col min="6145" max="6145" width="11" style="13" customWidth="1"/>
    <col min="6146" max="6146" width="27.08984375" style="13" customWidth="1"/>
    <col min="6147" max="6147" width="15.90625" style="13" bestFit="1" customWidth="1"/>
    <col min="6148" max="6148" width="16.08984375" style="13" customWidth="1"/>
    <col min="6149" max="6149" width="9.36328125" style="13" bestFit="1" customWidth="1"/>
    <col min="6150" max="6150" width="25" style="13" customWidth="1"/>
    <col min="6151" max="6151" width="12.453125" style="13" customWidth="1"/>
    <col min="6152" max="6152" width="10.54296875" style="13" customWidth="1"/>
    <col min="6153" max="6153" width="15.54296875" style="13" customWidth="1"/>
    <col min="6154" max="6400" width="9.08984375" style="13"/>
    <col min="6401" max="6401" width="11" style="13" customWidth="1"/>
    <col min="6402" max="6402" width="27.08984375" style="13" customWidth="1"/>
    <col min="6403" max="6403" width="15.90625" style="13" bestFit="1" customWidth="1"/>
    <col min="6404" max="6404" width="16.08984375" style="13" customWidth="1"/>
    <col min="6405" max="6405" width="9.36328125" style="13" bestFit="1" customWidth="1"/>
    <col min="6406" max="6406" width="25" style="13" customWidth="1"/>
    <col min="6407" max="6407" width="12.453125" style="13" customWidth="1"/>
    <col min="6408" max="6408" width="10.54296875" style="13" customWidth="1"/>
    <col min="6409" max="6409" width="15.54296875" style="13" customWidth="1"/>
    <col min="6410" max="6656" width="9.08984375" style="13"/>
    <col min="6657" max="6657" width="11" style="13" customWidth="1"/>
    <col min="6658" max="6658" width="27.08984375" style="13" customWidth="1"/>
    <col min="6659" max="6659" width="15.90625" style="13" bestFit="1" customWidth="1"/>
    <col min="6660" max="6660" width="16.08984375" style="13" customWidth="1"/>
    <col min="6661" max="6661" width="9.36328125" style="13" bestFit="1" customWidth="1"/>
    <col min="6662" max="6662" width="25" style="13" customWidth="1"/>
    <col min="6663" max="6663" width="12.453125" style="13" customWidth="1"/>
    <col min="6664" max="6664" width="10.54296875" style="13" customWidth="1"/>
    <col min="6665" max="6665" width="15.54296875" style="13" customWidth="1"/>
    <col min="6666" max="6912" width="9.08984375" style="13"/>
    <col min="6913" max="6913" width="11" style="13" customWidth="1"/>
    <col min="6914" max="6914" width="27.08984375" style="13" customWidth="1"/>
    <col min="6915" max="6915" width="15.90625" style="13" bestFit="1" customWidth="1"/>
    <col min="6916" max="6916" width="16.08984375" style="13" customWidth="1"/>
    <col min="6917" max="6917" width="9.36328125" style="13" bestFit="1" customWidth="1"/>
    <col min="6918" max="6918" width="25" style="13" customWidth="1"/>
    <col min="6919" max="6919" width="12.453125" style="13" customWidth="1"/>
    <col min="6920" max="6920" width="10.54296875" style="13" customWidth="1"/>
    <col min="6921" max="6921" width="15.54296875" style="13" customWidth="1"/>
    <col min="6922" max="7168" width="9.08984375" style="13"/>
    <col min="7169" max="7169" width="11" style="13" customWidth="1"/>
    <col min="7170" max="7170" width="27.08984375" style="13" customWidth="1"/>
    <col min="7171" max="7171" width="15.90625" style="13" bestFit="1" customWidth="1"/>
    <col min="7172" max="7172" width="16.08984375" style="13" customWidth="1"/>
    <col min="7173" max="7173" width="9.36328125" style="13" bestFit="1" customWidth="1"/>
    <col min="7174" max="7174" width="25" style="13" customWidth="1"/>
    <col min="7175" max="7175" width="12.453125" style="13" customWidth="1"/>
    <col min="7176" max="7176" width="10.54296875" style="13" customWidth="1"/>
    <col min="7177" max="7177" width="15.54296875" style="13" customWidth="1"/>
    <col min="7178" max="7424" width="9.08984375" style="13"/>
    <col min="7425" max="7425" width="11" style="13" customWidth="1"/>
    <col min="7426" max="7426" width="27.08984375" style="13" customWidth="1"/>
    <col min="7427" max="7427" width="15.90625" style="13" bestFit="1" customWidth="1"/>
    <col min="7428" max="7428" width="16.08984375" style="13" customWidth="1"/>
    <col min="7429" max="7429" width="9.36328125" style="13" bestFit="1" customWidth="1"/>
    <col min="7430" max="7430" width="25" style="13" customWidth="1"/>
    <col min="7431" max="7431" width="12.453125" style="13" customWidth="1"/>
    <col min="7432" max="7432" width="10.54296875" style="13" customWidth="1"/>
    <col min="7433" max="7433" width="15.54296875" style="13" customWidth="1"/>
    <col min="7434" max="7680" width="9.08984375" style="13"/>
    <col min="7681" max="7681" width="11" style="13" customWidth="1"/>
    <col min="7682" max="7682" width="27.08984375" style="13" customWidth="1"/>
    <col min="7683" max="7683" width="15.90625" style="13" bestFit="1" customWidth="1"/>
    <col min="7684" max="7684" width="16.08984375" style="13" customWidth="1"/>
    <col min="7685" max="7685" width="9.36328125" style="13" bestFit="1" customWidth="1"/>
    <col min="7686" max="7686" width="25" style="13" customWidth="1"/>
    <col min="7687" max="7687" width="12.453125" style="13" customWidth="1"/>
    <col min="7688" max="7688" width="10.54296875" style="13" customWidth="1"/>
    <col min="7689" max="7689" width="15.54296875" style="13" customWidth="1"/>
    <col min="7690" max="7936" width="9.08984375" style="13"/>
    <col min="7937" max="7937" width="11" style="13" customWidth="1"/>
    <col min="7938" max="7938" width="27.08984375" style="13" customWidth="1"/>
    <col min="7939" max="7939" width="15.90625" style="13" bestFit="1" customWidth="1"/>
    <col min="7940" max="7940" width="16.08984375" style="13" customWidth="1"/>
    <col min="7941" max="7941" width="9.36328125" style="13" bestFit="1" customWidth="1"/>
    <col min="7942" max="7942" width="25" style="13" customWidth="1"/>
    <col min="7943" max="7943" width="12.453125" style="13" customWidth="1"/>
    <col min="7944" max="7944" width="10.54296875" style="13" customWidth="1"/>
    <col min="7945" max="7945" width="15.54296875" style="13" customWidth="1"/>
    <col min="7946" max="8192" width="9.08984375" style="13"/>
    <col min="8193" max="8193" width="11" style="13" customWidth="1"/>
    <col min="8194" max="8194" width="27.08984375" style="13" customWidth="1"/>
    <col min="8195" max="8195" width="15.90625" style="13" bestFit="1" customWidth="1"/>
    <col min="8196" max="8196" width="16.08984375" style="13" customWidth="1"/>
    <col min="8197" max="8197" width="9.36328125" style="13" bestFit="1" customWidth="1"/>
    <col min="8198" max="8198" width="25" style="13" customWidth="1"/>
    <col min="8199" max="8199" width="12.453125" style="13" customWidth="1"/>
    <col min="8200" max="8200" width="10.54296875" style="13" customWidth="1"/>
    <col min="8201" max="8201" width="15.54296875" style="13" customWidth="1"/>
    <col min="8202" max="8448" width="9.08984375" style="13"/>
    <col min="8449" max="8449" width="11" style="13" customWidth="1"/>
    <col min="8450" max="8450" width="27.08984375" style="13" customWidth="1"/>
    <col min="8451" max="8451" width="15.90625" style="13" bestFit="1" customWidth="1"/>
    <col min="8452" max="8452" width="16.08984375" style="13" customWidth="1"/>
    <col min="8453" max="8453" width="9.36328125" style="13" bestFit="1" customWidth="1"/>
    <col min="8454" max="8454" width="25" style="13" customWidth="1"/>
    <col min="8455" max="8455" width="12.453125" style="13" customWidth="1"/>
    <col min="8456" max="8456" width="10.54296875" style="13" customWidth="1"/>
    <col min="8457" max="8457" width="15.54296875" style="13" customWidth="1"/>
    <col min="8458" max="8704" width="9.08984375" style="13"/>
    <col min="8705" max="8705" width="11" style="13" customWidth="1"/>
    <col min="8706" max="8706" width="27.08984375" style="13" customWidth="1"/>
    <col min="8707" max="8707" width="15.90625" style="13" bestFit="1" customWidth="1"/>
    <col min="8708" max="8708" width="16.08984375" style="13" customWidth="1"/>
    <col min="8709" max="8709" width="9.36328125" style="13" bestFit="1" customWidth="1"/>
    <col min="8710" max="8710" width="25" style="13" customWidth="1"/>
    <col min="8711" max="8711" width="12.453125" style="13" customWidth="1"/>
    <col min="8712" max="8712" width="10.54296875" style="13" customWidth="1"/>
    <col min="8713" max="8713" width="15.54296875" style="13" customWidth="1"/>
    <col min="8714" max="8960" width="9.08984375" style="13"/>
    <col min="8961" max="8961" width="11" style="13" customWidth="1"/>
    <col min="8962" max="8962" width="27.08984375" style="13" customWidth="1"/>
    <col min="8963" max="8963" width="15.90625" style="13" bestFit="1" customWidth="1"/>
    <col min="8964" max="8964" width="16.08984375" style="13" customWidth="1"/>
    <col min="8965" max="8965" width="9.36328125" style="13" bestFit="1" customWidth="1"/>
    <col min="8966" max="8966" width="25" style="13" customWidth="1"/>
    <col min="8967" max="8967" width="12.453125" style="13" customWidth="1"/>
    <col min="8968" max="8968" width="10.54296875" style="13" customWidth="1"/>
    <col min="8969" max="8969" width="15.54296875" style="13" customWidth="1"/>
    <col min="8970" max="9216" width="9.08984375" style="13"/>
    <col min="9217" max="9217" width="11" style="13" customWidth="1"/>
    <col min="9218" max="9218" width="27.08984375" style="13" customWidth="1"/>
    <col min="9219" max="9219" width="15.90625" style="13" bestFit="1" customWidth="1"/>
    <col min="9220" max="9220" width="16.08984375" style="13" customWidth="1"/>
    <col min="9221" max="9221" width="9.36328125" style="13" bestFit="1" customWidth="1"/>
    <col min="9222" max="9222" width="25" style="13" customWidth="1"/>
    <col min="9223" max="9223" width="12.453125" style="13" customWidth="1"/>
    <col min="9224" max="9224" width="10.54296875" style="13" customWidth="1"/>
    <col min="9225" max="9225" width="15.54296875" style="13" customWidth="1"/>
    <col min="9226" max="9472" width="9.08984375" style="13"/>
    <col min="9473" max="9473" width="11" style="13" customWidth="1"/>
    <col min="9474" max="9474" width="27.08984375" style="13" customWidth="1"/>
    <col min="9475" max="9475" width="15.90625" style="13" bestFit="1" customWidth="1"/>
    <col min="9476" max="9476" width="16.08984375" style="13" customWidth="1"/>
    <col min="9477" max="9477" width="9.36328125" style="13" bestFit="1" customWidth="1"/>
    <col min="9478" max="9478" width="25" style="13" customWidth="1"/>
    <col min="9479" max="9479" width="12.453125" style="13" customWidth="1"/>
    <col min="9480" max="9480" width="10.54296875" style="13" customWidth="1"/>
    <col min="9481" max="9481" width="15.54296875" style="13" customWidth="1"/>
    <col min="9482" max="9728" width="9.08984375" style="13"/>
    <col min="9729" max="9729" width="11" style="13" customWidth="1"/>
    <col min="9730" max="9730" width="27.08984375" style="13" customWidth="1"/>
    <col min="9731" max="9731" width="15.90625" style="13" bestFit="1" customWidth="1"/>
    <col min="9732" max="9732" width="16.08984375" style="13" customWidth="1"/>
    <col min="9733" max="9733" width="9.36328125" style="13" bestFit="1" customWidth="1"/>
    <col min="9734" max="9734" width="25" style="13" customWidth="1"/>
    <col min="9735" max="9735" width="12.453125" style="13" customWidth="1"/>
    <col min="9736" max="9736" width="10.54296875" style="13" customWidth="1"/>
    <col min="9737" max="9737" width="15.54296875" style="13" customWidth="1"/>
    <col min="9738" max="9984" width="9.08984375" style="13"/>
    <col min="9985" max="9985" width="11" style="13" customWidth="1"/>
    <col min="9986" max="9986" width="27.08984375" style="13" customWidth="1"/>
    <col min="9987" max="9987" width="15.90625" style="13" bestFit="1" customWidth="1"/>
    <col min="9988" max="9988" width="16.08984375" style="13" customWidth="1"/>
    <col min="9989" max="9989" width="9.36328125" style="13" bestFit="1" customWidth="1"/>
    <col min="9990" max="9990" width="25" style="13" customWidth="1"/>
    <col min="9991" max="9991" width="12.453125" style="13" customWidth="1"/>
    <col min="9992" max="9992" width="10.54296875" style="13" customWidth="1"/>
    <col min="9993" max="9993" width="15.54296875" style="13" customWidth="1"/>
    <col min="9994" max="10240" width="9.08984375" style="13"/>
    <col min="10241" max="10241" width="11" style="13" customWidth="1"/>
    <col min="10242" max="10242" width="27.08984375" style="13" customWidth="1"/>
    <col min="10243" max="10243" width="15.90625" style="13" bestFit="1" customWidth="1"/>
    <col min="10244" max="10244" width="16.08984375" style="13" customWidth="1"/>
    <col min="10245" max="10245" width="9.36328125" style="13" bestFit="1" customWidth="1"/>
    <col min="10246" max="10246" width="25" style="13" customWidth="1"/>
    <col min="10247" max="10247" width="12.453125" style="13" customWidth="1"/>
    <col min="10248" max="10248" width="10.54296875" style="13" customWidth="1"/>
    <col min="10249" max="10249" width="15.54296875" style="13" customWidth="1"/>
    <col min="10250" max="10496" width="9.08984375" style="13"/>
    <col min="10497" max="10497" width="11" style="13" customWidth="1"/>
    <col min="10498" max="10498" width="27.08984375" style="13" customWidth="1"/>
    <col min="10499" max="10499" width="15.90625" style="13" bestFit="1" customWidth="1"/>
    <col min="10500" max="10500" width="16.08984375" style="13" customWidth="1"/>
    <col min="10501" max="10501" width="9.36328125" style="13" bestFit="1" customWidth="1"/>
    <col min="10502" max="10502" width="25" style="13" customWidth="1"/>
    <col min="10503" max="10503" width="12.453125" style="13" customWidth="1"/>
    <col min="10504" max="10504" width="10.54296875" style="13" customWidth="1"/>
    <col min="10505" max="10505" width="15.54296875" style="13" customWidth="1"/>
    <col min="10506" max="10752" width="9.08984375" style="13"/>
    <col min="10753" max="10753" width="11" style="13" customWidth="1"/>
    <col min="10754" max="10754" width="27.08984375" style="13" customWidth="1"/>
    <col min="10755" max="10755" width="15.90625" style="13" bestFit="1" customWidth="1"/>
    <col min="10756" max="10756" width="16.08984375" style="13" customWidth="1"/>
    <col min="10757" max="10757" width="9.36328125" style="13" bestFit="1" customWidth="1"/>
    <col min="10758" max="10758" width="25" style="13" customWidth="1"/>
    <col min="10759" max="10759" width="12.453125" style="13" customWidth="1"/>
    <col min="10760" max="10760" width="10.54296875" style="13" customWidth="1"/>
    <col min="10761" max="10761" width="15.54296875" style="13" customWidth="1"/>
    <col min="10762" max="11008" width="9.08984375" style="13"/>
    <col min="11009" max="11009" width="11" style="13" customWidth="1"/>
    <col min="11010" max="11010" width="27.08984375" style="13" customWidth="1"/>
    <col min="11011" max="11011" width="15.90625" style="13" bestFit="1" customWidth="1"/>
    <col min="11012" max="11012" width="16.08984375" style="13" customWidth="1"/>
    <col min="11013" max="11013" width="9.36328125" style="13" bestFit="1" customWidth="1"/>
    <col min="11014" max="11014" width="25" style="13" customWidth="1"/>
    <col min="11015" max="11015" width="12.453125" style="13" customWidth="1"/>
    <col min="11016" max="11016" width="10.54296875" style="13" customWidth="1"/>
    <col min="11017" max="11017" width="15.54296875" style="13" customWidth="1"/>
    <col min="11018" max="11264" width="9.08984375" style="13"/>
    <col min="11265" max="11265" width="11" style="13" customWidth="1"/>
    <col min="11266" max="11266" width="27.08984375" style="13" customWidth="1"/>
    <col min="11267" max="11267" width="15.90625" style="13" bestFit="1" customWidth="1"/>
    <col min="11268" max="11268" width="16.08984375" style="13" customWidth="1"/>
    <col min="11269" max="11269" width="9.36328125" style="13" bestFit="1" customWidth="1"/>
    <col min="11270" max="11270" width="25" style="13" customWidth="1"/>
    <col min="11271" max="11271" width="12.453125" style="13" customWidth="1"/>
    <col min="11272" max="11272" width="10.54296875" style="13" customWidth="1"/>
    <col min="11273" max="11273" width="15.54296875" style="13" customWidth="1"/>
    <col min="11274" max="11520" width="9.08984375" style="13"/>
    <col min="11521" max="11521" width="11" style="13" customWidth="1"/>
    <col min="11522" max="11522" width="27.08984375" style="13" customWidth="1"/>
    <col min="11523" max="11523" width="15.90625" style="13" bestFit="1" customWidth="1"/>
    <col min="11524" max="11524" width="16.08984375" style="13" customWidth="1"/>
    <col min="11525" max="11525" width="9.36328125" style="13" bestFit="1" customWidth="1"/>
    <col min="11526" max="11526" width="25" style="13" customWidth="1"/>
    <col min="11527" max="11527" width="12.453125" style="13" customWidth="1"/>
    <col min="11528" max="11528" width="10.54296875" style="13" customWidth="1"/>
    <col min="11529" max="11529" width="15.54296875" style="13" customWidth="1"/>
    <col min="11530" max="11776" width="9.08984375" style="13"/>
    <col min="11777" max="11777" width="11" style="13" customWidth="1"/>
    <col min="11778" max="11778" width="27.08984375" style="13" customWidth="1"/>
    <col min="11779" max="11779" width="15.90625" style="13" bestFit="1" customWidth="1"/>
    <col min="11780" max="11780" width="16.08984375" style="13" customWidth="1"/>
    <col min="11781" max="11781" width="9.36328125" style="13" bestFit="1" customWidth="1"/>
    <col min="11782" max="11782" width="25" style="13" customWidth="1"/>
    <col min="11783" max="11783" width="12.453125" style="13" customWidth="1"/>
    <col min="11784" max="11784" width="10.54296875" style="13" customWidth="1"/>
    <col min="11785" max="11785" width="15.54296875" style="13" customWidth="1"/>
    <col min="11786" max="12032" width="9.08984375" style="13"/>
    <col min="12033" max="12033" width="11" style="13" customWidth="1"/>
    <col min="12034" max="12034" width="27.08984375" style="13" customWidth="1"/>
    <col min="12035" max="12035" width="15.90625" style="13" bestFit="1" customWidth="1"/>
    <col min="12036" max="12036" width="16.08984375" style="13" customWidth="1"/>
    <col min="12037" max="12037" width="9.36328125" style="13" bestFit="1" customWidth="1"/>
    <col min="12038" max="12038" width="25" style="13" customWidth="1"/>
    <col min="12039" max="12039" width="12.453125" style="13" customWidth="1"/>
    <col min="12040" max="12040" width="10.54296875" style="13" customWidth="1"/>
    <col min="12041" max="12041" width="15.54296875" style="13" customWidth="1"/>
    <col min="12042" max="12288" width="9.08984375" style="13"/>
    <col min="12289" max="12289" width="11" style="13" customWidth="1"/>
    <col min="12290" max="12290" width="27.08984375" style="13" customWidth="1"/>
    <col min="12291" max="12291" width="15.90625" style="13" bestFit="1" customWidth="1"/>
    <col min="12292" max="12292" width="16.08984375" style="13" customWidth="1"/>
    <col min="12293" max="12293" width="9.36328125" style="13" bestFit="1" customWidth="1"/>
    <col min="12294" max="12294" width="25" style="13" customWidth="1"/>
    <col min="12295" max="12295" width="12.453125" style="13" customWidth="1"/>
    <col min="12296" max="12296" width="10.54296875" style="13" customWidth="1"/>
    <col min="12297" max="12297" width="15.54296875" style="13" customWidth="1"/>
    <col min="12298" max="12544" width="9.08984375" style="13"/>
    <col min="12545" max="12545" width="11" style="13" customWidth="1"/>
    <col min="12546" max="12546" width="27.08984375" style="13" customWidth="1"/>
    <col min="12547" max="12547" width="15.90625" style="13" bestFit="1" customWidth="1"/>
    <col min="12548" max="12548" width="16.08984375" style="13" customWidth="1"/>
    <col min="12549" max="12549" width="9.36328125" style="13" bestFit="1" customWidth="1"/>
    <col min="12550" max="12550" width="25" style="13" customWidth="1"/>
    <col min="12551" max="12551" width="12.453125" style="13" customWidth="1"/>
    <col min="12552" max="12552" width="10.54296875" style="13" customWidth="1"/>
    <col min="12553" max="12553" width="15.54296875" style="13" customWidth="1"/>
    <col min="12554" max="12800" width="9.08984375" style="13"/>
    <col min="12801" max="12801" width="11" style="13" customWidth="1"/>
    <col min="12802" max="12802" width="27.08984375" style="13" customWidth="1"/>
    <col min="12803" max="12803" width="15.90625" style="13" bestFit="1" customWidth="1"/>
    <col min="12804" max="12804" width="16.08984375" style="13" customWidth="1"/>
    <col min="12805" max="12805" width="9.36328125" style="13" bestFit="1" customWidth="1"/>
    <col min="12806" max="12806" width="25" style="13" customWidth="1"/>
    <col min="12807" max="12807" width="12.453125" style="13" customWidth="1"/>
    <col min="12808" max="12808" width="10.54296875" style="13" customWidth="1"/>
    <col min="12809" max="12809" width="15.54296875" style="13" customWidth="1"/>
    <col min="12810" max="13056" width="9.08984375" style="13"/>
    <col min="13057" max="13057" width="11" style="13" customWidth="1"/>
    <col min="13058" max="13058" width="27.08984375" style="13" customWidth="1"/>
    <col min="13059" max="13059" width="15.90625" style="13" bestFit="1" customWidth="1"/>
    <col min="13060" max="13060" width="16.08984375" style="13" customWidth="1"/>
    <col min="13061" max="13061" width="9.36328125" style="13" bestFit="1" customWidth="1"/>
    <col min="13062" max="13062" width="25" style="13" customWidth="1"/>
    <col min="13063" max="13063" width="12.453125" style="13" customWidth="1"/>
    <col min="13064" max="13064" width="10.54296875" style="13" customWidth="1"/>
    <col min="13065" max="13065" width="15.54296875" style="13" customWidth="1"/>
    <col min="13066" max="13312" width="9.08984375" style="13"/>
    <col min="13313" max="13313" width="11" style="13" customWidth="1"/>
    <col min="13314" max="13314" width="27.08984375" style="13" customWidth="1"/>
    <col min="13315" max="13315" width="15.90625" style="13" bestFit="1" customWidth="1"/>
    <col min="13316" max="13316" width="16.08984375" style="13" customWidth="1"/>
    <col min="13317" max="13317" width="9.36328125" style="13" bestFit="1" customWidth="1"/>
    <col min="13318" max="13318" width="25" style="13" customWidth="1"/>
    <col min="13319" max="13319" width="12.453125" style="13" customWidth="1"/>
    <col min="13320" max="13320" width="10.54296875" style="13" customWidth="1"/>
    <col min="13321" max="13321" width="15.54296875" style="13" customWidth="1"/>
    <col min="13322" max="13568" width="9.08984375" style="13"/>
    <col min="13569" max="13569" width="11" style="13" customWidth="1"/>
    <col min="13570" max="13570" width="27.08984375" style="13" customWidth="1"/>
    <col min="13571" max="13571" width="15.90625" style="13" bestFit="1" customWidth="1"/>
    <col min="13572" max="13572" width="16.08984375" style="13" customWidth="1"/>
    <col min="13573" max="13573" width="9.36328125" style="13" bestFit="1" customWidth="1"/>
    <col min="13574" max="13574" width="25" style="13" customWidth="1"/>
    <col min="13575" max="13575" width="12.453125" style="13" customWidth="1"/>
    <col min="13576" max="13576" width="10.54296875" style="13" customWidth="1"/>
    <col min="13577" max="13577" width="15.54296875" style="13" customWidth="1"/>
    <col min="13578" max="13824" width="9.08984375" style="13"/>
    <col min="13825" max="13825" width="11" style="13" customWidth="1"/>
    <col min="13826" max="13826" width="27.08984375" style="13" customWidth="1"/>
    <col min="13827" max="13827" width="15.90625" style="13" bestFit="1" customWidth="1"/>
    <col min="13828" max="13828" width="16.08984375" style="13" customWidth="1"/>
    <col min="13829" max="13829" width="9.36328125" style="13" bestFit="1" customWidth="1"/>
    <col min="13830" max="13830" width="25" style="13" customWidth="1"/>
    <col min="13831" max="13831" width="12.453125" style="13" customWidth="1"/>
    <col min="13832" max="13832" width="10.54296875" style="13" customWidth="1"/>
    <col min="13833" max="13833" width="15.54296875" style="13" customWidth="1"/>
    <col min="13834" max="14080" width="9.08984375" style="13"/>
    <col min="14081" max="14081" width="11" style="13" customWidth="1"/>
    <col min="14082" max="14082" width="27.08984375" style="13" customWidth="1"/>
    <col min="14083" max="14083" width="15.90625" style="13" bestFit="1" customWidth="1"/>
    <col min="14084" max="14084" width="16.08984375" style="13" customWidth="1"/>
    <col min="14085" max="14085" width="9.36328125" style="13" bestFit="1" customWidth="1"/>
    <col min="14086" max="14086" width="25" style="13" customWidth="1"/>
    <col min="14087" max="14087" width="12.453125" style="13" customWidth="1"/>
    <col min="14088" max="14088" width="10.54296875" style="13" customWidth="1"/>
    <col min="14089" max="14089" width="15.54296875" style="13" customWidth="1"/>
    <col min="14090" max="14336" width="9.08984375" style="13"/>
    <col min="14337" max="14337" width="11" style="13" customWidth="1"/>
    <col min="14338" max="14338" width="27.08984375" style="13" customWidth="1"/>
    <col min="14339" max="14339" width="15.90625" style="13" bestFit="1" customWidth="1"/>
    <col min="14340" max="14340" width="16.08984375" style="13" customWidth="1"/>
    <col min="14341" max="14341" width="9.36328125" style="13" bestFit="1" customWidth="1"/>
    <col min="14342" max="14342" width="25" style="13" customWidth="1"/>
    <col min="14343" max="14343" width="12.453125" style="13" customWidth="1"/>
    <col min="14344" max="14344" width="10.54296875" style="13" customWidth="1"/>
    <col min="14345" max="14345" width="15.54296875" style="13" customWidth="1"/>
    <col min="14346" max="14592" width="9.08984375" style="13"/>
    <col min="14593" max="14593" width="11" style="13" customWidth="1"/>
    <col min="14594" max="14594" width="27.08984375" style="13" customWidth="1"/>
    <col min="14595" max="14595" width="15.90625" style="13" bestFit="1" customWidth="1"/>
    <col min="14596" max="14596" width="16.08984375" style="13" customWidth="1"/>
    <col min="14597" max="14597" width="9.36328125" style="13" bestFit="1" customWidth="1"/>
    <col min="14598" max="14598" width="25" style="13" customWidth="1"/>
    <col min="14599" max="14599" width="12.453125" style="13" customWidth="1"/>
    <col min="14600" max="14600" width="10.54296875" style="13" customWidth="1"/>
    <col min="14601" max="14601" width="15.54296875" style="13" customWidth="1"/>
    <col min="14602" max="14848" width="9.08984375" style="13"/>
    <col min="14849" max="14849" width="11" style="13" customWidth="1"/>
    <col min="14850" max="14850" width="27.08984375" style="13" customWidth="1"/>
    <col min="14851" max="14851" width="15.90625" style="13" bestFit="1" customWidth="1"/>
    <col min="14852" max="14852" width="16.08984375" style="13" customWidth="1"/>
    <col min="14853" max="14853" width="9.36328125" style="13" bestFit="1" customWidth="1"/>
    <col min="14854" max="14854" width="25" style="13" customWidth="1"/>
    <col min="14855" max="14855" width="12.453125" style="13" customWidth="1"/>
    <col min="14856" max="14856" width="10.54296875" style="13" customWidth="1"/>
    <col min="14857" max="14857" width="15.54296875" style="13" customWidth="1"/>
    <col min="14858" max="15104" width="9.08984375" style="13"/>
    <col min="15105" max="15105" width="11" style="13" customWidth="1"/>
    <col min="15106" max="15106" width="27.08984375" style="13" customWidth="1"/>
    <col min="15107" max="15107" width="15.90625" style="13" bestFit="1" customWidth="1"/>
    <col min="15108" max="15108" width="16.08984375" style="13" customWidth="1"/>
    <col min="15109" max="15109" width="9.36328125" style="13" bestFit="1" customWidth="1"/>
    <col min="15110" max="15110" width="25" style="13" customWidth="1"/>
    <col min="15111" max="15111" width="12.453125" style="13" customWidth="1"/>
    <col min="15112" max="15112" width="10.54296875" style="13" customWidth="1"/>
    <col min="15113" max="15113" width="15.54296875" style="13" customWidth="1"/>
    <col min="15114" max="15360" width="9.08984375" style="13"/>
    <col min="15361" max="15361" width="11" style="13" customWidth="1"/>
    <col min="15362" max="15362" width="27.08984375" style="13" customWidth="1"/>
    <col min="15363" max="15363" width="15.90625" style="13" bestFit="1" customWidth="1"/>
    <col min="15364" max="15364" width="16.08984375" style="13" customWidth="1"/>
    <col min="15365" max="15365" width="9.36328125" style="13" bestFit="1" customWidth="1"/>
    <col min="15366" max="15366" width="25" style="13" customWidth="1"/>
    <col min="15367" max="15367" width="12.453125" style="13" customWidth="1"/>
    <col min="15368" max="15368" width="10.54296875" style="13" customWidth="1"/>
    <col min="15369" max="15369" width="15.54296875" style="13" customWidth="1"/>
    <col min="15370" max="15616" width="9.08984375" style="13"/>
    <col min="15617" max="15617" width="11" style="13" customWidth="1"/>
    <col min="15618" max="15618" width="27.08984375" style="13" customWidth="1"/>
    <col min="15619" max="15619" width="15.90625" style="13" bestFit="1" customWidth="1"/>
    <col min="15620" max="15620" width="16.08984375" style="13" customWidth="1"/>
    <col min="15621" max="15621" width="9.36328125" style="13" bestFit="1" customWidth="1"/>
    <col min="15622" max="15622" width="25" style="13" customWidth="1"/>
    <col min="15623" max="15623" width="12.453125" style="13" customWidth="1"/>
    <col min="15624" max="15624" width="10.54296875" style="13" customWidth="1"/>
    <col min="15625" max="15625" width="15.54296875" style="13" customWidth="1"/>
    <col min="15626" max="15872" width="9.08984375" style="13"/>
    <col min="15873" max="15873" width="11" style="13" customWidth="1"/>
    <col min="15874" max="15874" width="27.08984375" style="13" customWidth="1"/>
    <col min="15875" max="15875" width="15.90625" style="13" bestFit="1" customWidth="1"/>
    <col min="15876" max="15876" width="16.08984375" style="13" customWidth="1"/>
    <col min="15877" max="15877" width="9.36328125" style="13" bestFit="1" customWidth="1"/>
    <col min="15878" max="15878" width="25" style="13" customWidth="1"/>
    <col min="15879" max="15879" width="12.453125" style="13" customWidth="1"/>
    <col min="15880" max="15880" width="10.54296875" style="13" customWidth="1"/>
    <col min="15881" max="15881" width="15.54296875" style="13" customWidth="1"/>
    <col min="15882" max="16128" width="9.08984375" style="13"/>
    <col min="16129" max="16129" width="11" style="13" customWidth="1"/>
    <col min="16130" max="16130" width="27.08984375" style="13" customWidth="1"/>
    <col min="16131" max="16131" width="15.90625" style="13" bestFit="1" customWidth="1"/>
    <col min="16132" max="16132" width="16.08984375" style="13" customWidth="1"/>
    <col min="16133" max="16133" width="9.36328125" style="13" bestFit="1" customWidth="1"/>
    <col min="16134" max="16134" width="25" style="13" customWidth="1"/>
    <col min="16135" max="16135" width="12.453125" style="13" customWidth="1"/>
    <col min="16136" max="16136" width="10.54296875" style="13" customWidth="1"/>
    <col min="16137" max="16137" width="15.54296875" style="13" customWidth="1"/>
    <col min="16138" max="16384" width="9.08984375" style="13"/>
  </cols>
  <sheetData>
    <row r="1" spans="1:10" x14ac:dyDescent="0.35">
      <c r="A1" s="13" t="s">
        <v>709</v>
      </c>
    </row>
    <row r="3" spans="1:10" x14ac:dyDescent="0.35">
      <c r="B3" s="1024" t="s">
        <v>713</v>
      </c>
      <c r="C3" s="1024"/>
      <c r="D3" s="1024"/>
      <c r="E3" s="1024"/>
      <c r="F3" s="1024"/>
    </row>
    <row r="4" spans="1:10" x14ac:dyDescent="0.35">
      <c r="B4" s="13" t="s">
        <v>633</v>
      </c>
      <c r="C4" s="87" t="s">
        <v>634</v>
      </c>
      <c r="D4" s="87" t="s">
        <v>635</v>
      </c>
      <c r="E4" s="13" t="s">
        <v>636</v>
      </c>
    </row>
    <row r="5" spans="1:10" x14ac:dyDescent="0.35">
      <c r="B5" s="13" t="s">
        <v>719</v>
      </c>
      <c r="C5" s="120">
        <v>25</v>
      </c>
      <c r="D5" s="87">
        <v>10</v>
      </c>
      <c r="E5" s="120">
        <v>-12</v>
      </c>
      <c r="F5" s="87" t="s">
        <v>637</v>
      </c>
      <c r="G5" s="119">
        <f>C5*D5^E5</f>
        <v>2.5000000000000001E-11</v>
      </c>
    </row>
    <row r="6" spans="1:10" x14ac:dyDescent="0.35">
      <c r="C6" s="123">
        <f>10*LOG(G5/0.000000000001)</f>
        <v>13.979400086720377</v>
      </c>
      <c r="D6" s="87" t="s">
        <v>638</v>
      </c>
      <c r="H6" s="87"/>
    </row>
    <row r="7" spans="1:10" x14ac:dyDescent="0.35">
      <c r="C7" s="123"/>
      <c r="D7" s="87"/>
      <c r="H7" s="87"/>
    </row>
    <row r="8" spans="1:10" x14ac:dyDescent="0.35">
      <c r="B8" s="1024" t="s">
        <v>718</v>
      </c>
      <c r="C8" s="1024"/>
      <c r="D8" s="1024"/>
      <c r="E8" s="1024"/>
      <c r="F8" s="1024"/>
    </row>
    <row r="9" spans="1:10" x14ac:dyDescent="0.35">
      <c r="B9" s="13" t="s">
        <v>639</v>
      </c>
      <c r="C9" s="133">
        <v>13.98</v>
      </c>
      <c r="D9" s="87" t="s">
        <v>638</v>
      </c>
    </row>
    <row r="10" spans="1:10" x14ac:dyDescent="0.35">
      <c r="C10" s="134">
        <f>0.000000000001*10^(C9/10)</f>
        <v>2.5003453616964331E-11</v>
      </c>
      <c r="D10" s="87" t="s">
        <v>723</v>
      </c>
    </row>
    <row r="12" spans="1:10" x14ac:dyDescent="0.35">
      <c r="B12" s="860" t="s">
        <v>640</v>
      </c>
    </row>
    <row r="13" spans="1:10" ht="18" customHeight="1" x14ac:dyDescent="0.35">
      <c r="B13" s="1031" t="s">
        <v>720</v>
      </c>
      <c r="C13" s="1031"/>
      <c r="D13" s="1031"/>
      <c r="E13" s="1031"/>
      <c r="F13" s="1031"/>
      <c r="G13" s="193"/>
      <c r="H13" s="193"/>
    </row>
    <row r="14" spans="1:10" ht="18" customHeight="1" x14ac:dyDescent="0.35">
      <c r="B14" s="1031"/>
      <c r="C14" s="1031"/>
      <c r="D14" s="1031"/>
      <c r="E14" s="1031"/>
      <c r="F14" s="1031"/>
      <c r="G14" s="193"/>
      <c r="H14" s="193"/>
    </row>
    <row r="15" spans="1:10" ht="16" thickBot="1" x14ac:dyDescent="0.4">
      <c r="B15" s="148"/>
      <c r="C15" s="87"/>
      <c r="D15" s="87"/>
    </row>
    <row r="16" spans="1:10" x14ac:dyDescent="0.35">
      <c r="B16" s="1029" t="s">
        <v>641</v>
      </c>
      <c r="C16" s="1030"/>
      <c r="D16" s="105" t="s">
        <v>642</v>
      </c>
      <c r="E16" s="105" t="s">
        <v>722</v>
      </c>
      <c r="F16" s="150"/>
      <c r="G16" s="151"/>
      <c r="H16" s="87"/>
      <c r="I16" s="87"/>
      <c r="J16" s="87"/>
    </row>
    <row r="17" spans="2:10" x14ac:dyDescent="0.35">
      <c r="B17" s="137" t="s">
        <v>721</v>
      </c>
      <c r="C17" s="155">
        <v>96</v>
      </c>
      <c r="D17" s="102">
        <f>PI()</f>
        <v>3.1415926535897931</v>
      </c>
      <c r="E17" s="147">
        <f>4*D17*C18^2</f>
        <v>12.566370614359172</v>
      </c>
      <c r="F17" s="1025" t="s">
        <v>644</v>
      </c>
      <c r="G17" s="1026"/>
      <c r="H17" s="89"/>
      <c r="I17" s="87"/>
      <c r="J17" s="87"/>
    </row>
    <row r="18" spans="2:10" x14ac:dyDescent="0.35">
      <c r="B18" s="137" t="s">
        <v>716</v>
      </c>
      <c r="C18" s="146">
        <v>1</v>
      </c>
      <c r="D18" s="102"/>
      <c r="E18" s="147">
        <f>4*D17*C19^2</f>
        <v>314.15926535897933</v>
      </c>
      <c r="F18" s="1025" t="s">
        <v>645</v>
      </c>
      <c r="G18" s="1026"/>
      <c r="H18" s="89"/>
      <c r="I18" s="87"/>
      <c r="J18" s="87"/>
    </row>
    <row r="19" spans="2:10" x14ac:dyDescent="0.35">
      <c r="B19" s="137" t="s">
        <v>717</v>
      </c>
      <c r="C19" s="146">
        <v>5</v>
      </c>
      <c r="D19" s="125" t="s">
        <v>724</v>
      </c>
      <c r="E19" s="125">
        <f>E17/E18</f>
        <v>0.04</v>
      </c>
      <c r="F19" s="1027" t="s">
        <v>648</v>
      </c>
      <c r="G19" s="1028"/>
      <c r="H19" s="122"/>
      <c r="I19" s="121"/>
      <c r="J19" s="87"/>
    </row>
    <row r="20" spans="2:10" x14ac:dyDescent="0.35">
      <c r="B20" s="112" t="s">
        <v>646</v>
      </c>
      <c r="C20" s="131">
        <f>C21-C17</f>
        <v>-13.979400086720375</v>
      </c>
      <c r="D20" s="125" t="s">
        <v>650</v>
      </c>
      <c r="E20" s="125" t="s">
        <v>651</v>
      </c>
      <c r="F20" s="125" t="s">
        <v>652</v>
      </c>
      <c r="G20" s="138"/>
      <c r="J20" s="87"/>
    </row>
    <row r="21" spans="2:10" x14ac:dyDescent="0.35">
      <c r="B21" s="137" t="s">
        <v>649</v>
      </c>
      <c r="C21" s="156">
        <f>10*LOG(F21/0.0000000000000001)</f>
        <v>82.020599913279625</v>
      </c>
      <c r="D21" s="149">
        <f>0.0000000000000001*10^(C17/10)</f>
        <v>3.981071705534975E-7</v>
      </c>
      <c r="E21" s="149">
        <f>E19</f>
        <v>0.04</v>
      </c>
      <c r="F21" s="149">
        <f>D21*E19</f>
        <v>1.5924286822139899E-8</v>
      </c>
      <c r="G21" s="138"/>
      <c r="J21" s="87"/>
    </row>
    <row r="22" spans="2:10" ht="16" thickBot="1" x14ac:dyDescent="0.4">
      <c r="B22" s="1022" t="s">
        <v>725</v>
      </c>
      <c r="C22" s="1023"/>
      <c r="D22" s="154">
        <f>D21</f>
        <v>3.981071705534975E-7</v>
      </c>
      <c r="E22" s="154">
        <f t="shared" ref="E22:F22" si="0">E21</f>
        <v>0.04</v>
      </c>
      <c r="F22" s="153">
        <f t="shared" si="0"/>
        <v>1.5924286822139899E-8</v>
      </c>
      <c r="G22" s="152" t="s">
        <v>726</v>
      </c>
      <c r="H22" s="121"/>
      <c r="I22" s="121"/>
      <c r="J22" s="87"/>
    </row>
    <row r="23" spans="2:10" x14ac:dyDescent="0.35">
      <c r="E23" s="87"/>
      <c r="F23" s="87"/>
      <c r="G23" s="87"/>
      <c r="H23" s="87"/>
      <c r="I23" s="87"/>
      <c r="J23" s="87"/>
    </row>
    <row r="24" spans="2:10" x14ac:dyDescent="0.35">
      <c r="C24" s="87"/>
      <c r="D24" s="87"/>
      <c r="E24" s="87"/>
      <c r="F24" s="87"/>
      <c r="G24" s="87"/>
      <c r="H24" s="87"/>
      <c r="I24" s="87"/>
      <c r="J24" s="87"/>
    </row>
    <row r="25" spans="2:10" ht="16" thickBot="1" x14ac:dyDescent="0.4">
      <c r="C25" s="87"/>
      <c r="D25" s="87"/>
      <c r="E25" s="87"/>
      <c r="F25" s="87"/>
      <c r="G25" s="87"/>
      <c r="H25" s="87"/>
      <c r="I25" s="87"/>
      <c r="J25" s="87"/>
    </row>
    <row r="26" spans="2:10" ht="16" thickTop="1" x14ac:dyDescent="0.35">
      <c r="C26" s="977" t="s">
        <v>752</v>
      </c>
      <c r="D26" s="978"/>
      <c r="E26" s="87"/>
      <c r="F26" s="87"/>
      <c r="G26" s="87"/>
      <c r="H26" s="87"/>
      <c r="I26" s="87"/>
      <c r="J26" s="87"/>
    </row>
    <row r="27" spans="2:10" x14ac:dyDescent="0.35">
      <c r="C27" s="979"/>
      <c r="D27" s="980"/>
      <c r="E27" s="87"/>
      <c r="F27" s="87"/>
      <c r="G27" s="87"/>
      <c r="H27" s="87"/>
      <c r="I27" s="87"/>
      <c r="J27" s="87"/>
    </row>
    <row r="28" spans="2:10" x14ac:dyDescent="0.35">
      <c r="C28" s="979"/>
      <c r="D28" s="980"/>
      <c r="J28" s="87"/>
    </row>
    <row r="29" spans="2:10" x14ac:dyDescent="0.35">
      <c r="C29" s="979"/>
      <c r="D29" s="980"/>
      <c r="J29" s="87"/>
    </row>
    <row r="30" spans="2:10" ht="16" thickBot="1" x14ac:dyDescent="0.4">
      <c r="C30" s="981"/>
      <c r="D30" s="982"/>
    </row>
    <row r="31" spans="2:10" ht="16" thickTop="1" x14ac:dyDescent="0.35"/>
  </sheetData>
  <mergeCells count="9">
    <mergeCell ref="C26:D30"/>
    <mergeCell ref="B22:C22"/>
    <mergeCell ref="B3:F3"/>
    <mergeCell ref="B8:F8"/>
    <mergeCell ref="F17:G17"/>
    <mergeCell ref="F18:G18"/>
    <mergeCell ref="F19:G19"/>
    <mergeCell ref="B16:C16"/>
    <mergeCell ref="B13:F14"/>
  </mergeCells>
  <pageMargins left="0.7" right="0.7" top="0.75" bottom="0.75" header="0.3" footer="0.3"/>
  <pageSetup orientation="portrait" horizontalDpi="4294967293"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
  <sheetViews>
    <sheetView tabSelected="1" topLeftCell="A4" workbookViewId="0">
      <selection activeCell="B24" sqref="B24"/>
    </sheetView>
  </sheetViews>
  <sheetFormatPr defaultRowHeight="15.5" x14ac:dyDescent="0.35"/>
  <cols>
    <col min="1" max="1" width="31" style="13" customWidth="1"/>
    <col min="2" max="2" width="22.6328125" style="13" customWidth="1"/>
    <col min="3" max="3" width="27.90625" style="13" customWidth="1"/>
    <col min="4" max="4" width="19.6328125" style="13" bestFit="1" customWidth="1"/>
    <col min="5" max="5" width="20.08984375" style="13" customWidth="1"/>
    <col min="6" max="8" width="13" style="13" customWidth="1"/>
    <col min="9" max="256" width="9.08984375" style="13"/>
    <col min="257" max="257" width="31" style="13" customWidth="1"/>
    <col min="258" max="258" width="16.08984375" style="13" customWidth="1"/>
    <col min="259" max="259" width="15.54296875" style="13" customWidth="1"/>
    <col min="260" max="260" width="14.90625" style="13" customWidth="1"/>
    <col min="261" max="261" width="17" style="13" customWidth="1"/>
    <col min="262" max="264" width="13" style="13" customWidth="1"/>
    <col min="265" max="512" width="9.08984375" style="13"/>
    <col min="513" max="513" width="31" style="13" customWidth="1"/>
    <col min="514" max="514" width="16.08984375" style="13" customWidth="1"/>
    <col min="515" max="515" width="15.54296875" style="13" customWidth="1"/>
    <col min="516" max="516" width="14.90625" style="13" customWidth="1"/>
    <col min="517" max="517" width="17" style="13" customWidth="1"/>
    <col min="518" max="520" width="13" style="13" customWidth="1"/>
    <col min="521" max="768" width="9.08984375" style="13"/>
    <col min="769" max="769" width="31" style="13" customWidth="1"/>
    <col min="770" max="770" width="16.08984375" style="13" customWidth="1"/>
    <col min="771" max="771" width="15.54296875" style="13" customWidth="1"/>
    <col min="772" max="772" width="14.90625" style="13" customWidth="1"/>
    <col min="773" max="773" width="17" style="13" customWidth="1"/>
    <col min="774" max="776" width="13" style="13" customWidth="1"/>
    <col min="777" max="1024" width="9.08984375" style="13"/>
    <col min="1025" max="1025" width="31" style="13" customWidth="1"/>
    <col min="1026" max="1026" width="16.08984375" style="13" customWidth="1"/>
    <col min="1027" max="1027" width="15.54296875" style="13" customWidth="1"/>
    <col min="1028" max="1028" width="14.90625" style="13" customWidth="1"/>
    <col min="1029" max="1029" width="17" style="13" customWidth="1"/>
    <col min="1030" max="1032" width="13" style="13" customWidth="1"/>
    <col min="1033" max="1280" width="9.08984375" style="13"/>
    <col min="1281" max="1281" width="31" style="13" customWidth="1"/>
    <col min="1282" max="1282" width="16.08984375" style="13" customWidth="1"/>
    <col min="1283" max="1283" width="15.54296875" style="13" customWidth="1"/>
    <col min="1284" max="1284" width="14.90625" style="13" customWidth="1"/>
    <col min="1285" max="1285" width="17" style="13" customWidth="1"/>
    <col min="1286" max="1288" width="13" style="13" customWidth="1"/>
    <col min="1289" max="1536" width="9.08984375" style="13"/>
    <col min="1537" max="1537" width="31" style="13" customWidth="1"/>
    <col min="1538" max="1538" width="16.08984375" style="13" customWidth="1"/>
    <col min="1539" max="1539" width="15.54296875" style="13" customWidth="1"/>
    <col min="1540" max="1540" width="14.90625" style="13" customWidth="1"/>
    <col min="1541" max="1541" width="17" style="13" customWidth="1"/>
    <col min="1542" max="1544" width="13" style="13" customWidth="1"/>
    <col min="1545" max="1792" width="9.08984375" style="13"/>
    <col min="1793" max="1793" width="31" style="13" customWidth="1"/>
    <col min="1794" max="1794" width="16.08984375" style="13" customWidth="1"/>
    <col min="1795" max="1795" width="15.54296875" style="13" customWidth="1"/>
    <col min="1796" max="1796" width="14.90625" style="13" customWidth="1"/>
    <col min="1797" max="1797" width="17" style="13" customWidth="1"/>
    <col min="1798" max="1800" width="13" style="13" customWidth="1"/>
    <col min="1801" max="2048" width="9.08984375" style="13"/>
    <col min="2049" max="2049" width="31" style="13" customWidth="1"/>
    <col min="2050" max="2050" width="16.08984375" style="13" customWidth="1"/>
    <col min="2051" max="2051" width="15.54296875" style="13" customWidth="1"/>
    <col min="2052" max="2052" width="14.90625" style="13" customWidth="1"/>
    <col min="2053" max="2053" width="17" style="13" customWidth="1"/>
    <col min="2054" max="2056" width="13" style="13" customWidth="1"/>
    <col min="2057" max="2304" width="9.08984375" style="13"/>
    <col min="2305" max="2305" width="31" style="13" customWidth="1"/>
    <col min="2306" max="2306" width="16.08984375" style="13" customWidth="1"/>
    <col min="2307" max="2307" width="15.54296875" style="13" customWidth="1"/>
    <col min="2308" max="2308" width="14.90625" style="13" customWidth="1"/>
    <col min="2309" max="2309" width="17" style="13" customWidth="1"/>
    <col min="2310" max="2312" width="13" style="13" customWidth="1"/>
    <col min="2313" max="2560" width="9.08984375" style="13"/>
    <col min="2561" max="2561" width="31" style="13" customWidth="1"/>
    <col min="2562" max="2562" width="16.08984375" style="13" customWidth="1"/>
    <col min="2563" max="2563" width="15.54296875" style="13" customWidth="1"/>
    <col min="2564" max="2564" width="14.90625" style="13" customWidth="1"/>
    <col min="2565" max="2565" width="17" style="13" customWidth="1"/>
    <col min="2566" max="2568" width="13" style="13" customWidth="1"/>
    <col min="2569" max="2816" width="9.08984375" style="13"/>
    <col min="2817" max="2817" width="31" style="13" customWidth="1"/>
    <col min="2818" max="2818" width="16.08984375" style="13" customWidth="1"/>
    <col min="2819" max="2819" width="15.54296875" style="13" customWidth="1"/>
    <col min="2820" max="2820" width="14.90625" style="13" customWidth="1"/>
    <col min="2821" max="2821" width="17" style="13" customWidth="1"/>
    <col min="2822" max="2824" width="13" style="13" customWidth="1"/>
    <col min="2825" max="3072" width="9.08984375" style="13"/>
    <col min="3073" max="3073" width="31" style="13" customWidth="1"/>
    <col min="3074" max="3074" width="16.08984375" style="13" customWidth="1"/>
    <col min="3075" max="3075" width="15.54296875" style="13" customWidth="1"/>
    <col min="3076" max="3076" width="14.90625" style="13" customWidth="1"/>
    <col min="3077" max="3077" width="17" style="13" customWidth="1"/>
    <col min="3078" max="3080" width="13" style="13" customWidth="1"/>
    <col min="3081" max="3328" width="9.08984375" style="13"/>
    <col min="3329" max="3329" width="31" style="13" customWidth="1"/>
    <col min="3330" max="3330" width="16.08984375" style="13" customWidth="1"/>
    <col min="3331" max="3331" width="15.54296875" style="13" customWidth="1"/>
    <col min="3332" max="3332" width="14.90625" style="13" customWidth="1"/>
    <col min="3333" max="3333" width="17" style="13" customWidth="1"/>
    <col min="3334" max="3336" width="13" style="13" customWidth="1"/>
    <col min="3337" max="3584" width="9.08984375" style="13"/>
    <col min="3585" max="3585" width="31" style="13" customWidth="1"/>
    <col min="3586" max="3586" width="16.08984375" style="13" customWidth="1"/>
    <col min="3587" max="3587" width="15.54296875" style="13" customWidth="1"/>
    <col min="3588" max="3588" width="14.90625" style="13" customWidth="1"/>
    <col min="3589" max="3589" width="17" style="13" customWidth="1"/>
    <col min="3590" max="3592" width="13" style="13" customWidth="1"/>
    <col min="3593" max="3840" width="9.08984375" style="13"/>
    <col min="3841" max="3841" width="31" style="13" customWidth="1"/>
    <col min="3842" max="3842" width="16.08984375" style="13" customWidth="1"/>
    <col min="3843" max="3843" width="15.54296875" style="13" customWidth="1"/>
    <col min="3844" max="3844" width="14.90625" style="13" customWidth="1"/>
    <col min="3845" max="3845" width="17" style="13" customWidth="1"/>
    <col min="3846" max="3848" width="13" style="13" customWidth="1"/>
    <col min="3849" max="4096" width="9.08984375" style="13"/>
    <col min="4097" max="4097" width="31" style="13" customWidth="1"/>
    <col min="4098" max="4098" width="16.08984375" style="13" customWidth="1"/>
    <col min="4099" max="4099" width="15.54296875" style="13" customWidth="1"/>
    <col min="4100" max="4100" width="14.90625" style="13" customWidth="1"/>
    <col min="4101" max="4101" width="17" style="13" customWidth="1"/>
    <col min="4102" max="4104" width="13" style="13" customWidth="1"/>
    <col min="4105" max="4352" width="9.08984375" style="13"/>
    <col min="4353" max="4353" width="31" style="13" customWidth="1"/>
    <col min="4354" max="4354" width="16.08984375" style="13" customWidth="1"/>
    <col min="4355" max="4355" width="15.54296875" style="13" customWidth="1"/>
    <col min="4356" max="4356" width="14.90625" style="13" customWidth="1"/>
    <col min="4357" max="4357" width="17" style="13" customWidth="1"/>
    <col min="4358" max="4360" width="13" style="13" customWidth="1"/>
    <col min="4361" max="4608" width="9.08984375" style="13"/>
    <col min="4609" max="4609" width="31" style="13" customWidth="1"/>
    <col min="4610" max="4610" width="16.08984375" style="13" customWidth="1"/>
    <col min="4611" max="4611" width="15.54296875" style="13" customWidth="1"/>
    <col min="4612" max="4612" width="14.90625" style="13" customWidth="1"/>
    <col min="4613" max="4613" width="17" style="13" customWidth="1"/>
    <col min="4614" max="4616" width="13" style="13" customWidth="1"/>
    <col min="4617" max="4864" width="9.08984375" style="13"/>
    <col min="4865" max="4865" width="31" style="13" customWidth="1"/>
    <col min="4866" max="4866" width="16.08984375" style="13" customWidth="1"/>
    <col min="4867" max="4867" width="15.54296875" style="13" customWidth="1"/>
    <col min="4868" max="4868" width="14.90625" style="13" customWidth="1"/>
    <col min="4869" max="4869" width="17" style="13" customWidth="1"/>
    <col min="4870" max="4872" width="13" style="13" customWidth="1"/>
    <col min="4873" max="5120" width="9.08984375" style="13"/>
    <col min="5121" max="5121" width="31" style="13" customWidth="1"/>
    <col min="5122" max="5122" width="16.08984375" style="13" customWidth="1"/>
    <col min="5123" max="5123" width="15.54296875" style="13" customWidth="1"/>
    <col min="5124" max="5124" width="14.90625" style="13" customWidth="1"/>
    <col min="5125" max="5125" width="17" style="13" customWidth="1"/>
    <col min="5126" max="5128" width="13" style="13" customWidth="1"/>
    <col min="5129" max="5376" width="9.08984375" style="13"/>
    <col min="5377" max="5377" width="31" style="13" customWidth="1"/>
    <col min="5378" max="5378" width="16.08984375" style="13" customWidth="1"/>
    <col min="5379" max="5379" width="15.54296875" style="13" customWidth="1"/>
    <col min="5380" max="5380" width="14.90625" style="13" customWidth="1"/>
    <col min="5381" max="5381" width="17" style="13" customWidth="1"/>
    <col min="5382" max="5384" width="13" style="13" customWidth="1"/>
    <col min="5385" max="5632" width="9.08984375" style="13"/>
    <col min="5633" max="5633" width="31" style="13" customWidth="1"/>
    <col min="5634" max="5634" width="16.08984375" style="13" customWidth="1"/>
    <col min="5635" max="5635" width="15.54296875" style="13" customWidth="1"/>
    <col min="5636" max="5636" width="14.90625" style="13" customWidth="1"/>
    <col min="5637" max="5637" width="17" style="13" customWidth="1"/>
    <col min="5638" max="5640" width="13" style="13" customWidth="1"/>
    <col min="5641" max="5888" width="9.08984375" style="13"/>
    <col min="5889" max="5889" width="31" style="13" customWidth="1"/>
    <col min="5890" max="5890" width="16.08984375" style="13" customWidth="1"/>
    <col min="5891" max="5891" width="15.54296875" style="13" customWidth="1"/>
    <col min="5892" max="5892" width="14.90625" style="13" customWidth="1"/>
    <col min="5893" max="5893" width="17" style="13" customWidth="1"/>
    <col min="5894" max="5896" width="13" style="13" customWidth="1"/>
    <col min="5897" max="6144" width="9.08984375" style="13"/>
    <col min="6145" max="6145" width="31" style="13" customWidth="1"/>
    <col min="6146" max="6146" width="16.08984375" style="13" customWidth="1"/>
    <col min="6147" max="6147" width="15.54296875" style="13" customWidth="1"/>
    <col min="6148" max="6148" width="14.90625" style="13" customWidth="1"/>
    <col min="6149" max="6149" width="17" style="13" customWidth="1"/>
    <col min="6150" max="6152" width="13" style="13" customWidth="1"/>
    <col min="6153" max="6400" width="9.08984375" style="13"/>
    <col min="6401" max="6401" width="31" style="13" customWidth="1"/>
    <col min="6402" max="6402" width="16.08984375" style="13" customWidth="1"/>
    <col min="6403" max="6403" width="15.54296875" style="13" customWidth="1"/>
    <col min="6404" max="6404" width="14.90625" style="13" customWidth="1"/>
    <col min="6405" max="6405" width="17" style="13" customWidth="1"/>
    <col min="6406" max="6408" width="13" style="13" customWidth="1"/>
    <col min="6409" max="6656" width="9.08984375" style="13"/>
    <col min="6657" max="6657" width="31" style="13" customWidth="1"/>
    <col min="6658" max="6658" width="16.08984375" style="13" customWidth="1"/>
    <col min="6659" max="6659" width="15.54296875" style="13" customWidth="1"/>
    <col min="6660" max="6660" width="14.90625" style="13" customWidth="1"/>
    <col min="6661" max="6661" width="17" style="13" customWidth="1"/>
    <col min="6662" max="6664" width="13" style="13" customWidth="1"/>
    <col min="6665" max="6912" width="9.08984375" style="13"/>
    <col min="6913" max="6913" width="31" style="13" customWidth="1"/>
    <col min="6914" max="6914" width="16.08984375" style="13" customWidth="1"/>
    <col min="6915" max="6915" width="15.54296875" style="13" customWidth="1"/>
    <col min="6916" max="6916" width="14.90625" style="13" customWidth="1"/>
    <col min="6917" max="6917" width="17" style="13" customWidth="1"/>
    <col min="6918" max="6920" width="13" style="13" customWidth="1"/>
    <col min="6921" max="7168" width="9.08984375" style="13"/>
    <col min="7169" max="7169" width="31" style="13" customWidth="1"/>
    <col min="7170" max="7170" width="16.08984375" style="13" customWidth="1"/>
    <col min="7171" max="7171" width="15.54296875" style="13" customWidth="1"/>
    <col min="7172" max="7172" width="14.90625" style="13" customWidth="1"/>
    <col min="7173" max="7173" width="17" style="13" customWidth="1"/>
    <col min="7174" max="7176" width="13" style="13" customWidth="1"/>
    <col min="7177" max="7424" width="9.08984375" style="13"/>
    <col min="7425" max="7425" width="31" style="13" customWidth="1"/>
    <col min="7426" max="7426" width="16.08984375" style="13" customWidth="1"/>
    <col min="7427" max="7427" width="15.54296875" style="13" customWidth="1"/>
    <col min="7428" max="7428" width="14.90625" style="13" customWidth="1"/>
    <col min="7429" max="7429" width="17" style="13" customWidth="1"/>
    <col min="7430" max="7432" width="13" style="13" customWidth="1"/>
    <col min="7433" max="7680" width="9.08984375" style="13"/>
    <col min="7681" max="7681" width="31" style="13" customWidth="1"/>
    <col min="7682" max="7682" width="16.08984375" style="13" customWidth="1"/>
    <col min="7683" max="7683" width="15.54296875" style="13" customWidth="1"/>
    <col min="7684" max="7684" width="14.90625" style="13" customWidth="1"/>
    <col min="7685" max="7685" width="17" style="13" customWidth="1"/>
    <col min="7686" max="7688" width="13" style="13" customWidth="1"/>
    <col min="7689" max="7936" width="9.08984375" style="13"/>
    <col min="7937" max="7937" width="31" style="13" customWidth="1"/>
    <col min="7938" max="7938" width="16.08984375" style="13" customWidth="1"/>
    <col min="7939" max="7939" width="15.54296875" style="13" customWidth="1"/>
    <col min="7940" max="7940" width="14.90625" style="13" customWidth="1"/>
    <col min="7941" max="7941" width="17" style="13" customWidth="1"/>
    <col min="7942" max="7944" width="13" style="13" customWidth="1"/>
    <col min="7945" max="8192" width="9.08984375" style="13"/>
    <col min="8193" max="8193" width="31" style="13" customWidth="1"/>
    <col min="8194" max="8194" width="16.08984375" style="13" customWidth="1"/>
    <col min="8195" max="8195" width="15.54296875" style="13" customWidth="1"/>
    <col min="8196" max="8196" width="14.90625" style="13" customWidth="1"/>
    <col min="8197" max="8197" width="17" style="13" customWidth="1"/>
    <col min="8198" max="8200" width="13" style="13" customWidth="1"/>
    <col min="8201" max="8448" width="9.08984375" style="13"/>
    <col min="8449" max="8449" width="31" style="13" customWidth="1"/>
    <col min="8450" max="8450" width="16.08984375" style="13" customWidth="1"/>
    <col min="8451" max="8451" width="15.54296875" style="13" customWidth="1"/>
    <col min="8452" max="8452" width="14.90625" style="13" customWidth="1"/>
    <col min="8453" max="8453" width="17" style="13" customWidth="1"/>
    <col min="8454" max="8456" width="13" style="13" customWidth="1"/>
    <col min="8457" max="8704" width="9.08984375" style="13"/>
    <col min="8705" max="8705" width="31" style="13" customWidth="1"/>
    <col min="8706" max="8706" width="16.08984375" style="13" customWidth="1"/>
    <col min="8707" max="8707" width="15.54296875" style="13" customWidth="1"/>
    <col min="8708" max="8708" width="14.90625" style="13" customWidth="1"/>
    <col min="8709" max="8709" width="17" style="13" customWidth="1"/>
    <col min="8710" max="8712" width="13" style="13" customWidth="1"/>
    <col min="8713" max="8960" width="9.08984375" style="13"/>
    <col min="8961" max="8961" width="31" style="13" customWidth="1"/>
    <col min="8962" max="8962" width="16.08984375" style="13" customWidth="1"/>
    <col min="8963" max="8963" width="15.54296875" style="13" customWidth="1"/>
    <col min="8964" max="8964" width="14.90625" style="13" customWidth="1"/>
    <col min="8965" max="8965" width="17" style="13" customWidth="1"/>
    <col min="8966" max="8968" width="13" style="13" customWidth="1"/>
    <col min="8969" max="9216" width="9.08984375" style="13"/>
    <col min="9217" max="9217" width="31" style="13" customWidth="1"/>
    <col min="9218" max="9218" width="16.08984375" style="13" customWidth="1"/>
    <col min="9219" max="9219" width="15.54296875" style="13" customWidth="1"/>
    <col min="9220" max="9220" width="14.90625" style="13" customWidth="1"/>
    <col min="9221" max="9221" width="17" style="13" customWidth="1"/>
    <col min="9222" max="9224" width="13" style="13" customWidth="1"/>
    <col min="9225" max="9472" width="9.08984375" style="13"/>
    <col min="9473" max="9473" width="31" style="13" customWidth="1"/>
    <col min="9474" max="9474" width="16.08984375" style="13" customWidth="1"/>
    <col min="9475" max="9475" width="15.54296875" style="13" customWidth="1"/>
    <col min="9476" max="9476" width="14.90625" style="13" customWidth="1"/>
    <col min="9477" max="9477" width="17" style="13" customWidth="1"/>
    <col min="9478" max="9480" width="13" style="13" customWidth="1"/>
    <col min="9481" max="9728" width="9.08984375" style="13"/>
    <col min="9729" max="9729" width="31" style="13" customWidth="1"/>
    <col min="9730" max="9730" width="16.08984375" style="13" customWidth="1"/>
    <col min="9731" max="9731" width="15.54296875" style="13" customWidth="1"/>
    <col min="9732" max="9732" width="14.90625" style="13" customWidth="1"/>
    <col min="9733" max="9733" width="17" style="13" customWidth="1"/>
    <col min="9734" max="9736" width="13" style="13" customWidth="1"/>
    <col min="9737" max="9984" width="9.08984375" style="13"/>
    <col min="9985" max="9985" width="31" style="13" customWidth="1"/>
    <col min="9986" max="9986" width="16.08984375" style="13" customWidth="1"/>
    <col min="9987" max="9987" width="15.54296875" style="13" customWidth="1"/>
    <col min="9988" max="9988" width="14.90625" style="13" customWidth="1"/>
    <col min="9989" max="9989" width="17" style="13" customWidth="1"/>
    <col min="9990" max="9992" width="13" style="13" customWidth="1"/>
    <col min="9993" max="10240" width="9.08984375" style="13"/>
    <col min="10241" max="10241" width="31" style="13" customWidth="1"/>
    <col min="10242" max="10242" width="16.08984375" style="13" customWidth="1"/>
    <col min="10243" max="10243" width="15.54296875" style="13" customWidth="1"/>
    <col min="10244" max="10244" width="14.90625" style="13" customWidth="1"/>
    <col min="10245" max="10245" width="17" style="13" customWidth="1"/>
    <col min="10246" max="10248" width="13" style="13" customWidth="1"/>
    <col min="10249" max="10496" width="9.08984375" style="13"/>
    <col min="10497" max="10497" width="31" style="13" customWidth="1"/>
    <col min="10498" max="10498" width="16.08984375" style="13" customWidth="1"/>
    <col min="10499" max="10499" width="15.54296875" style="13" customWidth="1"/>
    <col min="10500" max="10500" width="14.90625" style="13" customWidth="1"/>
    <col min="10501" max="10501" width="17" style="13" customWidth="1"/>
    <col min="10502" max="10504" width="13" style="13" customWidth="1"/>
    <col min="10505" max="10752" width="9.08984375" style="13"/>
    <col min="10753" max="10753" width="31" style="13" customWidth="1"/>
    <col min="10754" max="10754" width="16.08984375" style="13" customWidth="1"/>
    <col min="10755" max="10755" width="15.54296875" style="13" customWidth="1"/>
    <col min="10756" max="10756" width="14.90625" style="13" customWidth="1"/>
    <col min="10757" max="10757" width="17" style="13" customWidth="1"/>
    <col min="10758" max="10760" width="13" style="13" customWidth="1"/>
    <col min="10761" max="11008" width="9.08984375" style="13"/>
    <col min="11009" max="11009" width="31" style="13" customWidth="1"/>
    <col min="11010" max="11010" width="16.08984375" style="13" customWidth="1"/>
    <col min="11011" max="11011" width="15.54296875" style="13" customWidth="1"/>
    <col min="11012" max="11012" width="14.90625" style="13" customWidth="1"/>
    <col min="11013" max="11013" width="17" style="13" customWidth="1"/>
    <col min="11014" max="11016" width="13" style="13" customWidth="1"/>
    <col min="11017" max="11264" width="9.08984375" style="13"/>
    <col min="11265" max="11265" width="31" style="13" customWidth="1"/>
    <col min="11266" max="11266" width="16.08984375" style="13" customWidth="1"/>
    <col min="11267" max="11267" width="15.54296875" style="13" customWidth="1"/>
    <col min="11268" max="11268" width="14.90625" style="13" customWidth="1"/>
    <col min="11269" max="11269" width="17" style="13" customWidth="1"/>
    <col min="11270" max="11272" width="13" style="13" customWidth="1"/>
    <col min="11273" max="11520" width="9.08984375" style="13"/>
    <col min="11521" max="11521" width="31" style="13" customWidth="1"/>
    <col min="11522" max="11522" width="16.08984375" style="13" customWidth="1"/>
    <col min="11523" max="11523" width="15.54296875" style="13" customWidth="1"/>
    <col min="11524" max="11524" width="14.90625" style="13" customWidth="1"/>
    <col min="11525" max="11525" width="17" style="13" customWidth="1"/>
    <col min="11526" max="11528" width="13" style="13" customWidth="1"/>
    <col min="11529" max="11776" width="9.08984375" style="13"/>
    <col min="11777" max="11777" width="31" style="13" customWidth="1"/>
    <col min="11778" max="11778" width="16.08984375" style="13" customWidth="1"/>
    <col min="11779" max="11779" width="15.54296875" style="13" customWidth="1"/>
    <col min="11780" max="11780" width="14.90625" style="13" customWidth="1"/>
    <col min="11781" max="11781" width="17" style="13" customWidth="1"/>
    <col min="11782" max="11784" width="13" style="13" customWidth="1"/>
    <col min="11785" max="12032" width="9.08984375" style="13"/>
    <col min="12033" max="12033" width="31" style="13" customWidth="1"/>
    <col min="12034" max="12034" width="16.08984375" style="13" customWidth="1"/>
    <col min="12035" max="12035" width="15.54296875" style="13" customWidth="1"/>
    <col min="12036" max="12036" width="14.90625" style="13" customWidth="1"/>
    <col min="12037" max="12037" width="17" style="13" customWidth="1"/>
    <col min="12038" max="12040" width="13" style="13" customWidth="1"/>
    <col min="12041" max="12288" width="9.08984375" style="13"/>
    <col min="12289" max="12289" width="31" style="13" customWidth="1"/>
    <col min="12290" max="12290" width="16.08984375" style="13" customWidth="1"/>
    <col min="12291" max="12291" width="15.54296875" style="13" customWidth="1"/>
    <col min="12292" max="12292" width="14.90625" style="13" customWidth="1"/>
    <col min="12293" max="12293" width="17" style="13" customWidth="1"/>
    <col min="12294" max="12296" width="13" style="13" customWidth="1"/>
    <col min="12297" max="12544" width="9.08984375" style="13"/>
    <col min="12545" max="12545" width="31" style="13" customWidth="1"/>
    <col min="12546" max="12546" width="16.08984375" style="13" customWidth="1"/>
    <col min="12547" max="12547" width="15.54296875" style="13" customWidth="1"/>
    <col min="12548" max="12548" width="14.90625" style="13" customWidth="1"/>
    <col min="12549" max="12549" width="17" style="13" customWidth="1"/>
    <col min="12550" max="12552" width="13" style="13" customWidth="1"/>
    <col min="12553" max="12800" width="9.08984375" style="13"/>
    <col min="12801" max="12801" width="31" style="13" customWidth="1"/>
    <col min="12802" max="12802" width="16.08984375" style="13" customWidth="1"/>
    <col min="12803" max="12803" width="15.54296875" style="13" customWidth="1"/>
    <col min="12804" max="12804" width="14.90625" style="13" customWidth="1"/>
    <col min="12805" max="12805" width="17" style="13" customWidth="1"/>
    <col min="12806" max="12808" width="13" style="13" customWidth="1"/>
    <col min="12809" max="13056" width="9.08984375" style="13"/>
    <col min="13057" max="13057" width="31" style="13" customWidth="1"/>
    <col min="13058" max="13058" width="16.08984375" style="13" customWidth="1"/>
    <col min="13059" max="13059" width="15.54296875" style="13" customWidth="1"/>
    <col min="13060" max="13060" width="14.90625" style="13" customWidth="1"/>
    <col min="13061" max="13061" width="17" style="13" customWidth="1"/>
    <col min="13062" max="13064" width="13" style="13" customWidth="1"/>
    <col min="13065" max="13312" width="9.08984375" style="13"/>
    <col min="13313" max="13313" width="31" style="13" customWidth="1"/>
    <col min="13314" max="13314" width="16.08984375" style="13" customWidth="1"/>
    <col min="13315" max="13315" width="15.54296875" style="13" customWidth="1"/>
    <col min="13316" max="13316" width="14.90625" style="13" customWidth="1"/>
    <col min="13317" max="13317" width="17" style="13" customWidth="1"/>
    <col min="13318" max="13320" width="13" style="13" customWidth="1"/>
    <col min="13321" max="13568" width="9.08984375" style="13"/>
    <col min="13569" max="13569" width="31" style="13" customWidth="1"/>
    <col min="13570" max="13570" width="16.08984375" style="13" customWidth="1"/>
    <col min="13571" max="13571" width="15.54296875" style="13" customWidth="1"/>
    <col min="13572" max="13572" width="14.90625" style="13" customWidth="1"/>
    <col min="13573" max="13573" width="17" style="13" customWidth="1"/>
    <col min="13574" max="13576" width="13" style="13" customWidth="1"/>
    <col min="13577" max="13824" width="9.08984375" style="13"/>
    <col min="13825" max="13825" width="31" style="13" customWidth="1"/>
    <col min="13826" max="13826" width="16.08984375" style="13" customWidth="1"/>
    <col min="13827" max="13827" width="15.54296875" style="13" customWidth="1"/>
    <col min="13828" max="13828" width="14.90625" style="13" customWidth="1"/>
    <col min="13829" max="13829" width="17" style="13" customWidth="1"/>
    <col min="13830" max="13832" width="13" style="13" customWidth="1"/>
    <col min="13833" max="14080" width="9.08984375" style="13"/>
    <col min="14081" max="14081" width="31" style="13" customWidth="1"/>
    <col min="14082" max="14082" width="16.08984375" style="13" customWidth="1"/>
    <col min="14083" max="14083" width="15.54296875" style="13" customWidth="1"/>
    <col min="14084" max="14084" width="14.90625" style="13" customWidth="1"/>
    <col min="14085" max="14085" width="17" style="13" customWidth="1"/>
    <col min="14086" max="14088" width="13" style="13" customWidth="1"/>
    <col min="14089" max="14336" width="9.08984375" style="13"/>
    <col min="14337" max="14337" width="31" style="13" customWidth="1"/>
    <col min="14338" max="14338" width="16.08984375" style="13" customWidth="1"/>
    <col min="14339" max="14339" width="15.54296875" style="13" customWidth="1"/>
    <col min="14340" max="14340" width="14.90625" style="13" customWidth="1"/>
    <col min="14341" max="14341" width="17" style="13" customWidth="1"/>
    <col min="14342" max="14344" width="13" style="13" customWidth="1"/>
    <col min="14345" max="14592" width="9.08984375" style="13"/>
    <col min="14593" max="14593" width="31" style="13" customWidth="1"/>
    <col min="14594" max="14594" width="16.08984375" style="13" customWidth="1"/>
    <col min="14595" max="14595" width="15.54296875" style="13" customWidth="1"/>
    <col min="14596" max="14596" width="14.90625" style="13" customWidth="1"/>
    <col min="14597" max="14597" width="17" style="13" customWidth="1"/>
    <col min="14598" max="14600" width="13" style="13" customWidth="1"/>
    <col min="14601" max="14848" width="9.08984375" style="13"/>
    <col min="14849" max="14849" width="31" style="13" customWidth="1"/>
    <col min="14850" max="14850" width="16.08984375" style="13" customWidth="1"/>
    <col min="14851" max="14851" width="15.54296875" style="13" customWidth="1"/>
    <col min="14852" max="14852" width="14.90625" style="13" customWidth="1"/>
    <col min="14853" max="14853" width="17" style="13" customWidth="1"/>
    <col min="14854" max="14856" width="13" style="13" customWidth="1"/>
    <col min="14857" max="15104" width="9.08984375" style="13"/>
    <col min="15105" max="15105" width="31" style="13" customWidth="1"/>
    <col min="15106" max="15106" width="16.08984375" style="13" customWidth="1"/>
    <col min="15107" max="15107" width="15.54296875" style="13" customWidth="1"/>
    <col min="15108" max="15108" width="14.90625" style="13" customWidth="1"/>
    <col min="15109" max="15109" width="17" style="13" customWidth="1"/>
    <col min="15110" max="15112" width="13" style="13" customWidth="1"/>
    <col min="15113" max="15360" width="9.08984375" style="13"/>
    <col min="15361" max="15361" width="31" style="13" customWidth="1"/>
    <col min="15362" max="15362" width="16.08984375" style="13" customWidth="1"/>
    <col min="15363" max="15363" width="15.54296875" style="13" customWidth="1"/>
    <col min="15364" max="15364" width="14.90625" style="13" customWidth="1"/>
    <col min="15365" max="15365" width="17" style="13" customWidth="1"/>
    <col min="15366" max="15368" width="13" style="13" customWidth="1"/>
    <col min="15369" max="15616" width="9.08984375" style="13"/>
    <col min="15617" max="15617" width="31" style="13" customWidth="1"/>
    <col min="15618" max="15618" width="16.08984375" style="13" customWidth="1"/>
    <col min="15619" max="15619" width="15.54296875" style="13" customWidth="1"/>
    <col min="15620" max="15620" width="14.90625" style="13" customWidth="1"/>
    <col min="15621" max="15621" width="17" style="13" customWidth="1"/>
    <col min="15622" max="15624" width="13" style="13" customWidth="1"/>
    <col min="15625" max="15872" width="9.08984375" style="13"/>
    <col min="15873" max="15873" width="31" style="13" customWidth="1"/>
    <col min="15874" max="15874" width="16.08984375" style="13" customWidth="1"/>
    <col min="15875" max="15875" width="15.54296875" style="13" customWidth="1"/>
    <col min="15876" max="15876" width="14.90625" style="13" customWidth="1"/>
    <col min="15877" max="15877" width="17" style="13" customWidth="1"/>
    <col min="15878" max="15880" width="13" style="13" customWidth="1"/>
    <col min="15881" max="16128" width="9.08984375" style="13"/>
    <col min="16129" max="16129" width="31" style="13" customWidth="1"/>
    <col min="16130" max="16130" width="16.08984375" style="13" customWidth="1"/>
    <col min="16131" max="16131" width="15.54296875" style="13" customWidth="1"/>
    <col min="16132" max="16132" width="14.90625" style="13" customWidth="1"/>
    <col min="16133" max="16133" width="17" style="13" customWidth="1"/>
    <col min="16134" max="16136" width="13" style="13" customWidth="1"/>
    <col min="16137" max="16384" width="9.08984375" style="13"/>
  </cols>
  <sheetData>
    <row r="1" spans="1:6" x14ac:dyDescent="0.35">
      <c r="A1" s="1024" t="s">
        <v>712</v>
      </c>
      <c r="B1" s="1024"/>
    </row>
    <row r="3" spans="1:6" x14ac:dyDescent="0.35">
      <c r="A3" s="13" t="s">
        <v>653</v>
      </c>
    </row>
    <row r="5" spans="1:6" x14ac:dyDescent="0.35">
      <c r="A5" s="1038" t="s">
        <v>655</v>
      </c>
      <c r="B5" s="1038"/>
      <c r="C5" s="1038"/>
    </row>
    <row r="6" spans="1:6" x14ac:dyDescent="0.35">
      <c r="A6" s="13" t="s">
        <v>656</v>
      </c>
      <c r="B6" s="129">
        <v>282507.51</v>
      </c>
      <c r="C6" s="1039" t="s">
        <v>654</v>
      </c>
      <c r="D6" s="1038"/>
      <c r="E6" s="1038"/>
      <c r="F6" s="1038"/>
    </row>
    <row r="7" spans="1:6" x14ac:dyDescent="0.35">
      <c r="B7" s="128">
        <f>20*LOG(B6/20)</f>
        <v>83.000000033065433</v>
      </c>
    </row>
    <row r="10" spans="1:6" x14ac:dyDescent="0.35">
      <c r="A10" s="1024" t="s">
        <v>658</v>
      </c>
      <c r="B10" s="1024"/>
      <c r="C10" s="1024"/>
    </row>
    <row r="11" spans="1:6" x14ac:dyDescent="0.35">
      <c r="B11" s="130">
        <v>83</v>
      </c>
      <c r="C11" s="1037" t="s">
        <v>659</v>
      </c>
      <c r="D11" s="1024"/>
      <c r="E11" s="1024"/>
    </row>
    <row r="12" spans="1:6" x14ac:dyDescent="0.35">
      <c r="B12" s="132">
        <f>20*10^(B11/20)</f>
        <v>282507.50892455119</v>
      </c>
      <c r="C12" s="124"/>
    </row>
    <row r="15" spans="1:6" x14ac:dyDescent="0.35">
      <c r="A15" s="1036" t="s">
        <v>640</v>
      </c>
      <c r="B15" s="1036"/>
      <c r="C15" s="1036"/>
    </row>
    <row r="16" spans="1:6" x14ac:dyDescent="0.35">
      <c r="A16" s="1036"/>
      <c r="B16" s="1036"/>
      <c r="C16" s="1036"/>
    </row>
    <row r="17" spans="1:8" x14ac:dyDescent="0.35">
      <c r="A17" s="1031" t="s">
        <v>714</v>
      </c>
      <c r="B17" s="1031"/>
      <c r="C17" s="1031"/>
      <c r="D17" s="1031"/>
      <c r="E17" s="1031"/>
      <c r="F17" s="1031"/>
    </row>
    <row r="18" spans="1:8" x14ac:dyDescent="0.35">
      <c r="A18" s="1031"/>
      <c r="B18" s="1031"/>
      <c r="C18" s="1031"/>
      <c r="D18" s="1031"/>
      <c r="E18" s="1031"/>
      <c r="F18" s="1031"/>
    </row>
    <row r="19" spans="1:8" x14ac:dyDescent="0.35">
      <c r="A19" s="1031"/>
      <c r="B19" s="1031"/>
      <c r="C19" s="1031"/>
      <c r="D19" s="1031"/>
      <c r="E19" s="1031"/>
      <c r="F19" s="1031"/>
    </row>
    <row r="20" spans="1:8" ht="21.75" customHeight="1" x14ac:dyDescent="0.35">
      <c r="A20" s="1031"/>
      <c r="B20" s="1031"/>
      <c r="C20" s="1031"/>
      <c r="D20" s="1031"/>
      <c r="E20" s="1031"/>
      <c r="F20" s="1031"/>
    </row>
    <row r="21" spans="1:8" ht="16" thickBot="1" x14ac:dyDescent="0.4"/>
    <row r="22" spans="1:8" ht="17.5" x14ac:dyDescent="0.35">
      <c r="A22" s="1032" t="s">
        <v>660</v>
      </c>
      <c r="B22" s="1033"/>
      <c r="C22" s="1033"/>
      <c r="D22" s="135"/>
      <c r="E22" s="135"/>
      <c r="F22" s="135"/>
      <c r="G22" s="135"/>
      <c r="H22" s="136"/>
    </row>
    <row r="23" spans="1:8" x14ac:dyDescent="0.35">
      <c r="A23" s="137" t="s">
        <v>715</v>
      </c>
      <c r="B23" s="130">
        <v>74</v>
      </c>
      <c r="C23" s="102" t="s">
        <v>642</v>
      </c>
      <c r="D23" s="102" t="s">
        <v>643</v>
      </c>
      <c r="G23" s="87"/>
      <c r="H23" s="145"/>
    </row>
    <row r="24" spans="1:8" x14ac:dyDescent="0.35">
      <c r="A24" s="137" t="s">
        <v>716</v>
      </c>
      <c r="B24" s="146">
        <v>1</v>
      </c>
      <c r="C24" s="102">
        <f>PI()</f>
        <v>3.1415926535897931</v>
      </c>
      <c r="D24" s="147">
        <f>4*C24*B24^2</f>
        <v>12.566370614359172</v>
      </c>
      <c r="E24" s="1034" t="s">
        <v>644</v>
      </c>
      <c r="F24" s="1034"/>
      <c r="G24" s="1034"/>
      <c r="H24" s="1035"/>
    </row>
    <row r="25" spans="1:8" x14ac:dyDescent="0.35">
      <c r="A25" s="137" t="s">
        <v>717</v>
      </c>
      <c r="B25" s="146">
        <v>200</v>
      </c>
      <c r="C25" s="102"/>
      <c r="D25" s="147">
        <f>4*C24*B25^2</f>
        <v>502654.82457436691</v>
      </c>
      <c r="E25" s="1034" t="s">
        <v>645</v>
      </c>
      <c r="F25" s="1034"/>
      <c r="G25" s="1034"/>
      <c r="H25" s="1035"/>
    </row>
    <row r="26" spans="1:8" x14ac:dyDescent="0.35">
      <c r="A26" s="112" t="s">
        <v>646</v>
      </c>
      <c r="B26" s="131">
        <f>B27-B23</f>
        <v>-46.020599913279611</v>
      </c>
      <c r="C26" s="127" t="s">
        <v>647</v>
      </c>
      <c r="D26" s="125">
        <f>D24/D25</f>
        <v>2.4999999999999998E-5</v>
      </c>
      <c r="E26" s="1027" t="s">
        <v>648</v>
      </c>
      <c r="F26" s="1027"/>
      <c r="G26" s="1027"/>
      <c r="H26" s="138"/>
    </row>
    <row r="27" spans="1:8" x14ac:dyDescent="0.35">
      <c r="A27" s="137" t="s">
        <v>661</v>
      </c>
      <c r="B27" s="128">
        <f>20*LOG(E30/20)</f>
        <v>27.979400086720393</v>
      </c>
      <c r="C27" s="1027" t="s">
        <v>662</v>
      </c>
      <c r="D27" s="1027"/>
      <c r="E27" s="1027"/>
      <c r="F27" s="1027"/>
      <c r="G27" s="1027"/>
      <c r="H27" s="1028"/>
    </row>
    <row r="28" spans="1:8" x14ac:dyDescent="0.35">
      <c r="A28" s="139"/>
      <c r="C28" s="125">
        <f>SQRT(D26)</f>
        <v>5.0000000000000001E-3</v>
      </c>
      <c r="D28" s="126"/>
      <c r="E28" s="125"/>
      <c r="H28" s="140"/>
    </row>
    <row r="29" spans="1:8" x14ac:dyDescent="0.35">
      <c r="A29" s="139"/>
      <c r="C29" s="125" t="s">
        <v>663</v>
      </c>
      <c r="D29" s="125" t="s">
        <v>651</v>
      </c>
      <c r="E29" s="126" t="s">
        <v>664</v>
      </c>
      <c r="H29" s="140"/>
    </row>
    <row r="30" spans="1:8" ht="16" thickBot="1" x14ac:dyDescent="0.4">
      <c r="A30" s="141"/>
      <c r="B30" s="88"/>
      <c r="C30" s="142">
        <f>20*10^(B23/20)</f>
        <v>100237.44672545465</v>
      </c>
      <c r="D30" s="143">
        <f>C28</f>
        <v>5.0000000000000001E-3</v>
      </c>
      <c r="E30" s="142">
        <f>D30*C30</f>
        <v>501.18723362727326</v>
      </c>
      <c r="F30" s="88"/>
      <c r="G30" s="88"/>
      <c r="H30" s="144"/>
    </row>
    <row r="33" spans="2:3" ht="16" thickBot="1" x14ac:dyDescent="0.4"/>
    <row r="34" spans="2:3" ht="16" thickTop="1" x14ac:dyDescent="0.35">
      <c r="B34" s="977" t="s">
        <v>752</v>
      </c>
      <c r="C34" s="978"/>
    </row>
    <row r="35" spans="2:3" x14ac:dyDescent="0.35">
      <c r="B35" s="979"/>
      <c r="C35" s="980"/>
    </row>
    <row r="36" spans="2:3" x14ac:dyDescent="0.35">
      <c r="B36" s="979"/>
      <c r="C36" s="980"/>
    </row>
    <row r="37" spans="2:3" x14ac:dyDescent="0.35">
      <c r="B37" s="979"/>
      <c r="C37" s="980"/>
    </row>
    <row r="38" spans="2:3" ht="16" thickBot="1" x14ac:dyDescent="0.4">
      <c r="B38" s="981"/>
      <c r="C38" s="982"/>
    </row>
    <row r="39" spans="2:3" ht="16" thickTop="1" x14ac:dyDescent="0.35"/>
  </sheetData>
  <mergeCells count="13">
    <mergeCell ref="B34:C38"/>
    <mergeCell ref="E26:G26"/>
    <mergeCell ref="C27:H27"/>
    <mergeCell ref="A1:B1"/>
    <mergeCell ref="A17:F20"/>
    <mergeCell ref="A22:C22"/>
    <mergeCell ref="E24:H24"/>
    <mergeCell ref="E25:H25"/>
    <mergeCell ref="A15:C16"/>
    <mergeCell ref="A10:C10"/>
    <mergeCell ref="C11:E11"/>
    <mergeCell ref="A5:C5"/>
    <mergeCell ref="C6:F6"/>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1"/>
  <sheetViews>
    <sheetView workbookViewId="0">
      <selection activeCell="F41" sqref="F41"/>
    </sheetView>
  </sheetViews>
  <sheetFormatPr defaultRowHeight="15.5" x14ac:dyDescent="0.35"/>
  <cols>
    <col min="1" max="1" width="13.453125" style="87" customWidth="1"/>
    <col min="2" max="2" width="13" style="87" customWidth="1"/>
    <col min="3" max="3" width="9.08984375" style="87"/>
    <col min="4" max="4" width="9.08984375" style="13"/>
    <col min="5" max="5" width="13.90625" style="13" customWidth="1"/>
    <col min="6" max="6" width="9.08984375" style="13"/>
    <col min="7" max="7" width="40.6328125" style="13" customWidth="1"/>
    <col min="8" max="256" width="9.08984375" style="13"/>
    <col min="257" max="257" width="13.453125" style="13" customWidth="1"/>
    <col min="258" max="258" width="13" style="13" customWidth="1"/>
    <col min="259" max="260" width="9.08984375" style="13"/>
    <col min="261" max="261" width="13.90625" style="13" customWidth="1"/>
    <col min="262" max="262" width="9.08984375" style="13"/>
    <col min="263" max="263" width="40.6328125" style="13" customWidth="1"/>
    <col min="264" max="512" width="9.08984375" style="13"/>
    <col min="513" max="513" width="13.453125" style="13" customWidth="1"/>
    <col min="514" max="514" width="13" style="13" customWidth="1"/>
    <col min="515" max="516" width="9.08984375" style="13"/>
    <col min="517" max="517" width="13.90625" style="13" customWidth="1"/>
    <col min="518" max="518" width="9.08984375" style="13"/>
    <col min="519" max="519" width="40.6328125" style="13" customWidth="1"/>
    <col min="520" max="768" width="9.08984375" style="13"/>
    <col min="769" max="769" width="13.453125" style="13" customWidth="1"/>
    <col min="770" max="770" width="13" style="13" customWidth="1"/>
    <col min="771" max="772" width="9.08984375" style="13"/>
    <col min="773" max="773" width="13.90625" style="13" customWidth="1"/>
    <col min="774" max="774" width="9.08984375" style="13"/>
    <col min="775" max="775" width="40.6328125" style="13" customWidth="1"/>
    <col min="776" max="1024" width="9.08984375" style="13"/>
    <col min="1025" max="1025" width="13.453125" style="13" customWidth="1"/>
    <col min="1026" max="1026" width="13" style="13" customWidth="1"/>
    <col min="1027" max="1028" width="9.08984375" style="13"/>
    <col min="1029" max="1029" width="13.90625" style="13" customWidth="1"/>
    <col min="1030" max="1030" width="9.08984375" style="13"/>
    <col min="1031" max="1031" width="40.6328125" style="13" customWidth="1"/>
    <col min="1032" max="1280" width="9.08984375" style="13"/>
    <col min="1281" max="1281" width="13.453125" style="13" customWidth="1"/>
    <col min="1282" max="1282" width="13" style="13" customWidth="1"/>
    <col min="1283" max="1284" width="9.08984375" style="13"/>
    <col min="1285" max="1285" width="13.90625" style="13" customWidth="1"/>
    <col min="1286" max="1286" width="9.08984375" style="13"/>
    <col min="1287" max="1287" width="40.6328125" style="13" customWidth="1"/>
    <col min="1288" max="1536" width="9.08984375" style="13"/>
    <col min="1537" max="1537" width="13.453125" style="13" customWidth="1"/>
    <col min="1538" max="1538" width="13" style="13" customWidth="1"/>
    <col min="1539" max="1540" width="9.08984375" style="13"/>
    <col min="1541" max="1541" width="13.90625" style="13" customWidth="1"/>
    <col min="1542" max="1542" width="9.08984375" style="13"/>
    <col min="1543" max="1543" width="40.6328125" style="13" customWidth="1"/>
    <col min="1544" max="1792" width="9.08984375" style="13"/>
    <col min="1793" max="1793" width="13.453125" style="13" customWidth="1"/>
    <col min="1794" max="1794" width="13" style="13" customWidth="1"/>
    <col min="1795" max="1796" width="9.08984375" style="13"/>
    <col min="1797" max="1797" width="13.90625" style="13" customWidth="1"/>
    <col min="1798" max="1798" width="9.08984375" style="13"/>
    <col min="1799" max="1799" width="40.6328125" style="13" customWidth="1"/>
    <col min="1800" max="2048" width="9.08984375" style="13"/>
    <col min="2049" max="2049" width="13.453125" style="13" customWidth="1"/>
    <col min="2050" max="2050" width="13" style="13" customWidth="1"/>
    <col min="2051" max="2052" width="9.08984375" style="13"/>
    <col min="2053" max="2053" width="13.90625" style="13" customWidth="1"/>
    <col min="2054" max="2054" width="9.08984375" style="13"/>
    <col min="2055" max="2055" width="40.6328125" style="13" customWidth="1"/>
    <col min="2056" max="2304" width="9.08984375" style="13"/>
    <col min="2305" max="2305" width="13.453125" style="13" customWidth="1"/>
    <col min="2306" max="2306" width="13" style="13" customWidth="1"/>
    <col min="2307" max="2308" width="9.08984375" style="13"/>
    <col min="2309" max="2309" width="13.90625" style="13" customWidth="1"/>
    <col min="2310" max="2310" width="9.08984375" style="13"/>
    <col min="2311" max="2311" width="40.6328125" style="13" customWidth="1"/>
    <col min="2312" max="2560" width="9.08984375" style="13"/>
    <col min="2561" max="2561" width="13.453125" style="13" customWidth="1"/>
    <col min="2562" max="2562" width="13" style="13" customWidth="1"/>
    <col min="2563" max="2564" width="9.08984375" style="13"/>
    <col min="2565" max="2565" width="13.90625" style="13" customWidth="1"/>
    <col min="2566" max="2566" width="9.08984375" style="13"/>
    <col min="2567" max="2567" width="40.6328125" style="13" customWidth="1"/>
    <col min="2568" max="2816" width="9.08984375" style="13"/>
    <col min="2817" max="2817" width="13.453125" style="13" customWidth="1"/>
    <col min="2818" max="2818" width="13" style="13" customWidth="1"/>
    <col min="2819" max="2820" width="9.08984375" style="13"/>
    <col min="2821" max="2821" width="13.90625" style="13" customWidth="1"/>
    <col min="2822" max="2822" width="9.08984375" style="13"/>
    <col min="2823" max="2823" width="40.6328125" style="13" customWidth="1"/>
    <col min="2824" max="3072" width="9.08984375" style="13"/>
    <col min="3073" max="3073" width="13.453125" style="13" customWidth="1"/>
    <col min="3074" max="3074" width="13" style="13" customWidth="1"/>
    <col min="3075" max="3076" width="9.08984375" style="13"/>
    <col min="3077" max="3077" width="13.90625" style="13" customWidth="1"/>
    <col min="3078" max="3078" width="9.08984375" style="13"/>
    <col min="3079" max="3079" width="40.6328125" style="13" customWidth="1"/>
    <col min="3080" max="3328" width="9.08984375" style="13"/>
    <col min="3329" max="3329" width="13.453125" style="13" customWidth="1"/>
    <col min="3330" max="3330" width="13" style="13" customWidth="1"/>
    <col min="3331" max="3332" width="9.08984375" style="13"/>
    <col min="3333" max="3333" width="13.90625" style="13" customWidth="1"/>
    <col min="3334" max="3334" width="9.08984375" style="13"/>
    <col min="3335" max="3335" width="40.6328125" style="13" customWidth="1"/>
    <col min="3336" max="3584" width="9.08984375" style="13"/>
    <col min="3585" max="3585" width="13.453125" style="13" customWidth="1"/>
    <col min="3586" max="3586" width="13" style="13" customWidth="1"/>
    <col min="3587" max="3588" width="9.08984375" style="13"/>
    <col min="3589" max="3589" width="13.90625" style="13" customWidth="1"/>
    <col min="3590" max="3590" width="9.08984375" style="13"/>
    <col min="3591" max="3591" width="40.6328125" style="13" customWidth="1"/>
    <col min="3592" max="3840" width="9.08984375" style="13"/>
    <col min="3841" max="3841" width="13.453125" style="13" customWidth="1"/>
    <col min="3842" max="3842" width="13" style="13" customWidth="1"/>
    <col min="3843" max="3844" width="9.08984375" style="13"/>
    <col min="3845" max="3845" width="13.90625" style="13" customWidth="1"/>
    <col min="3846" max="3846" width="9.08984375" style="13"/>
    <col min="3847" max="3847" width="40.6328125" style="13" customWidth="1"/>
    <col min="3848" max="4096" width="9.08984375" style="13"/>
    <col min="4097" max="4097" width="13.453125" style="13" customWidth="1"/>
    <col min="4098" max="4098" width="13" style="13" customWidth="1"/>
    <col min="4099" max="4100" width="9.08984375" style="13"/>
    <col min="4101" max="4101" width="13.90625" style="13" customWidth="1"/>
    <col min="4102" max="4102" width="9.08984375" style="13"/>
    <col min="4103" max="4103" width="40.6328125" style="13" customWidth="1"/>
    <col min="4104" max="4352" width="9.08984375" style="13"/>
    <col min="4353" max="4353" width="13.453125" style="13" customWidth="1"/>
    <col min="4354" max="4354" width="13" style="13" customWidth="1"/>
    <col min="4355" max="4356" width="9.08984375" style="13"/>
    <col min="4357" max="4357" width="13.90625" style="13" customWidth="1"/>
    <col min="4358" max="4358" width="9.08984375" style="13"/>
    <col min="4359" max="4359" width="40.6328125" style="13" customWidth="1"/>
    <col min="4360" max="4608" width="9.08984375" style="13"/>
    <col min="4609" max="4609" width="13.453125" style="13" customWidth="1"/>
    <col min="4610" max="4610" width="13" style="13" customWidth="1"/>
    <col min="4611" max="4612" width="9.08984375" style="13"/>
    <col min="4613" max="4613" width="13.90625" style="13" customWidth="1"/>
    <col min="4614" max="4614" width="9.08984375" style="13"/>
    <col min="4615" max="4615" width="40.6328125" style="13" customWidth="1"/>
    <col min="4616" max="4864" width="9.08984375" style="13"/>
    <col min="4865" max="4865" width="13.453125" style="13" customWidth="1"/>
    <col min="4866" max="4866" width="13" style="13" customWidth="1"/>
    <col min="4867" max="4868" width="9.08984375" style="13"/>
    <col min="4869" max="4869" width="13.90625" style="13" customWidth="1"/>
    <col min="4870" max="4870" width="9.08984375" style="13"/>
    <col min="4871" max="4871" width="40.6328125" style="13" customWidth="1"/>
    <col min="4872" max="5120" width="9.08984375" style="13"/>
    <col min="5121" max="5121" width="13.453125" style="13" customWidth="1"/>
    <col min="5122" max="5122" width="13" style="13" customWidth="1"/>
    <col min="5123" max="5124" width="9.08984375" style="13"/>
    <col min="5125" max="5125" width="13.90625" style="13" customWidth="1"/>
    <col min="5126" max="5126" width="9.08984375" style="13"/>
    <col min="5127" max="5127" width="40.6328125" style="13" customWidth="1"/>
    <col min="5128" max="5376" width="9.08984375" style="13"/>
    <col min="5377" max="5377" width="13.453125" style="13" customWidth="1"/>
    <col min="5378" max="5378" width="13" style="13" customWidth="1"/>
    <col min="5379" max="5380" width="9.08984375" style="13"/>
    <col min="5381" max="5381" width="13.90625" style="13" customWidth="1"/>
    <col min="5382" max="5382" width="9.08984375" style="13"/>
    <col min="5383" max="5383" width="40.6328125" style="13" customWidth="1"/>
    <col min="5384" max="5632" width="9.08984375" style="13"/>
    <col min="5633" max="5633" width="13.453125" style="13" customWidth="1"/>
    <col min="5634" max="5634" width="13" style="13" customWidth="1"/>
    <col min="5635" max="5636" width="9.08984375" style="13"/>
    <col min="5637" max="5637" width="13.90625" style="13" customWidth="1"/>
    <col min="5638" max="5638" width="9.08984375" style="13"/>
    <col min="5639" max="5639" width="40.6328125" style="13" customWidth="1"/>
    <col min="5640" max="5888" width="9.08984375" style="13"/>
    <col min="5889" max="5889" width="13.453125" style="13" customWidth="1"/>
    <col min="5890" max="5890" width="13" style="13" customWidth="1"/>
    <col min="5891" max="5892" width="9.08984375" style="13"/>
    <col min="5893" max="5893" width="13.90625" style="13" customWidth="1"/>
    <col min="5894" max="5894" width="9.08984375" style="13"/>
    <col min="5895" max="5895" width="40.6328125" style="13" customWidth="1"/>
    <col min="5896" max="6144" width="9.08984375" style="13"/>
    <col min="6145" max="6145" width="13.453125" style="13" customWidth="1"/>
    <col min="6146" max="6146" width="13" style="13" customWidth="1"/>
    <col min="6147" max="6148" width="9.08984375" style="13"/>
    <col min="6149" max="6149" width="13.90625" style="13" customWidth="1"/>
    <col min="6150" max="6150" width="9.08984375" style="13"/>
    <col min="6151" max="6151" width="40.6328125" style="13" customWidth="1"/>
    <col min="6152" max="6400" width="9.08984375" style="13"/>
    <col min="6401" max="6401" width="13.453125" style="13" customWidth="1"/>
    <col min="6402" max="6402" width="13" style="13" customWidth="1"/>
    <col min="6403" max="6404" width="9.08984375" style="13"/>
    <col min="6405" max="6405" width="13.90625" style="13" customWidth="1"/>
    <col min="6406" max="6406" width="9.08984375" style="13"/>
    <col min="6407" max="6407" width="40.6328125" style="13" customWidth="1"/>
    <col min="6408" max="6656" width="9.08984375" style="13"/>
    <col min="6657" max="6657" width="13.453125" style="13" customWidth="1"/>
    <col min="6658" max="6658" width="13" style="13" customWidth="1"/>
    <col min="6659" max="6660" width="9.08984375" style="13"/>
    <col min="6661" max="6661" width="13.90625" style="13" customWidth="1"/>
    <col min="6662" max="6662" width="9.08984375" style="13"/>
    <col min="6663" max="6663" width="40.6328125" style="13" customWidth="1"/>
    <col min="6664" max="6912" width="9.08984375" style="13"/>
    <col min="6913" max="6913" width="13.453125" style="13" customWidth="1"/>
    <col min="6914" max="6914" width="13" style="13" customWidth="1"/>
    <col min="6915" max="6916" width="9.08984375" style="13"/>
    <col min="6917" max="6917" width="13.90625" style="13" customWidth="1"/>
    <col min="6918" max="6918" width="9.08984375" style="13"/>
    <col min="6919" max="6919" width="40.6328125" style="13" customWidth="1"/>
    <col min="6920" max="7168" width="9.08984375" style="13"/>
    <col min="7169" max="7169" width="13.453125" style="13" customWidth="1"/>
    <col min="7170" max="7170" width="13" style="13" customWidth="1"/>
    <col min="7171" max="7172" width="9.08984375" style="13"/>
    <col min="7173" max="7173" width="13.90625" style="13" customWidth="1"/>
    <col min="7174" max="7174" width="9.08984375" style="13"/>
    <col min="7175" max="7175" width="40.6328125" style="13" customWidth="1"/>
    <col min="7176" max="7424" width="9.08984375" style="13"/>
    <col min="7425" max="7425" width="13.453125" style="13" customWidth="1"/>
    <col min="7426" max="7426" width="13" style="13" customWidth="1"/>
    <col min="7427" max="7428" width="9.08984375" style="13"/>
    <col min="7429" max="7429" width="13.90625" style="13" customWidth="1"/>
    <col min="7430" max="7430" width="9.08984375" style="13"/>
    <col min="7431" max="7431" width="40.6328125" style="13" customWidth="1"/>
    <col min="7432" max="7680" width="9.08984375" style="13"/>
    <col min="7681" max="7681" width="13.453125" style="13" customWidth="1"/>
    <col min="7682" max="7682" width="13" style="13" customWidth="1"/>
    <col min="7683" max="7684" width="9.08984375" style="13"/>
    <col min="7685" max="7685" width="13.90625" style="13" customWidth="1"/>
    <col min="7686" max="7686" width="9.08984375" style="13"/>
    <col min="7687" max="7687" width="40.6328125" style="13" customWidth="1"/>
    <col min="7688" max="7936" width="9.08984375" style="13"/>
    <col min="7937" max="7937" width="13.453125" style="13" customWidth="1"/>
    <col min="7938" max="7938" width="13" style="13" customWidth="1"/>
    <col min="7939" max="7940" width="9.08984375" style="13"/>
    <col min="7941" max="7941" width="13.90625" style="13" customWidth="1"/>
    <col min="7942" max="7942" width="9.08984375" style="13"/>
    <col min="7943" max="7943" width="40.6328125" style="13" customWidth="1"/>
    <col min="7944" max="8192" width="9.08984375" style="13"/>
    <col min="8193" max="8193" width="13.453125" style="13" customWidth="1"/>
    <col min="8194" max="8194" width="13" style="13" customWidth="1"/>
    <col min="8195" max="8196" width="9.08984375" style="13"/>
    <col min="8197" max="8197" width="13.90625" style="13" customWidth="1"/>
    <col min="8198" max="8198" width="9.08984375" style="13"/>
    <col min="8199" max="8199" width="40.6328125" style="13" customWidth="1"/>
    <col min="8200" max="8448" width="9.08984375" style="13"/>
    <col min="8449" max="8449" width="13.453125" style="13" customWidth="1"/>
    <col min="8450" max="8450" width="13" style="13" customWidth="1"/>
    <col min="8451" max="8452" width="9.08984375" style="13"/>
    <col min="8453" max="8453" width="13.90625" style="13" customWidth="1"/>
    <col min="8454" max="8454" width="9.08984375" style="13"/>
    <col min="8455" max="8455" width="40.6328125" style="13" customWidth="1"/>
    <col min="8456" max="8704" width="9.08984375" style="13"/>
    <col min="8705" max="8705" width="13.453125" style="13" customWidth="1"/>
    <col min="8706" max="8706" width="13" style="13" customWidth="1"/>
    <col min="8707" max="8708" width="9.08984375" style="13"/>
    <col min="8709" max="8709" width="13.90625" style="13" customWidth="1"/>
    <col min="8710" max="8710" width="9.08984375" style="13"/>
    <col min="8711" max="8711" width="40.6328125" style="13" customWidth="1"/>
    <col min="8712" max="8960" width="9.08984375" style="13"/>
    <col min="8961" max="8961" width="13.453125" style="13" customWidth="1"/>
    <col min="8962" max="8962" width="13" style="13" customWidth="1"/>
    <col min="8963" max="8964" width="9.08984375" style="13"/>
    <col min="8965" max="8965" width="13.90625" style="13" customWidth="1"/>
    <col min="8966" max="8966" width="9.08984375" style="13"/>
    <col min="8967" max="8967" width="40.6328125" style="13" customWidth="1"/>
    <col min="8968" max="9216" width="9.08984375" style="13"/>
    <col min="9217" max="9217" width="13.453125" style="13" customWidth="1"/>
    <col min="9218" max="9218" width="13" style="13" customWidth="1"/>
    <col min="9219" max="9220" width="9.08984375" style="13"/>
    <col min="9221" max="9221" width="13.90625" style="13" customWidth="1"/>
    <col min="9222" max="9222" width="9.08984375" style="13"/>
    <col min="9223" max="9223" width="40.6328125" style="13" customWidth="1"/>
    <col min="9224" max="9472" width="9.08984375" style="13"/>
    <col min="9473" max="9473" width="13.453125" style="13" customWidth="1"/>
    <col min="9474" max="9474" width="13" style="13" customWidth="1"/>
    <col min="9475" max="9476" width="9.08984375" style="13"/>
    <col min="9477" max="9477" width="13.90625" style="13" customWidth="1"/>
    <col min="9478" max="9478" width="9.08984375" style="13"/>
    <col min="9479" max="9479" width="40.6328125" style="13" customWidth="1"/>
    <col min="9480" max="9728" width="9.08984375" style="13"/>
    <col min="9729" max="9729" width="13.453125" style="13" customWidth="1"/>
    <col min="9730" max="9730" width="13" style="13" customWidth="1"/>
    <col min="9731" max="9732" width="9.08984375" style="13"/>
    <col min="9733" max="9733" width="13.90625" style="13" customWidth="1"/>
    <col min="9734" max="9734" width="9.08984375" style="13"/>
    <col min="9735" max="9735" width="40.6328125" style="13" customWidth="1"/>
    <col min="9736" max="9984" width="9.08984375" style="13"/>
    <col min="9985" max="9985" width="13.453125" style="13" customWidth="1"/>
    <col min="9986" max="9986" width="13" style="13" customWidth="1"/>
    <col min="9987" max="9988" width="9.08984375" style="13"/>
    <col min="9989" max="9989" width="13.90625" style="13" customWidth="1"/>
    <col min="9990" max="9990" width="9.08984375" style="13"/>
    <col min="9991" max="9991" width="40.6328125" style="13" customWidth="1"/>
    <col min="9992" max="10240" width="9.08984375" style="13"/>
    <col min="10241" max="10241" width="13.453125" style="13" customWidth="1"/>
    <col min="10242" max="10242" width="13" style="13" customWidth="1"/>
    <col min="10243" max="10244" width="9.08984375" style="13"/>
    <col min="10245" max="10245" width="13.90625" style="13" customWidth="1"/>
    <col min="10246" max="10246" width="9.08984375" style="13"/>
    <col min="10247" max="10247" width="40.6328125" style="13" customWidth="1"/>
    <col min="10248" max="10496" width="9.08984375" style="13"/>
    <col min="10497" max="10497" width="13.453125" style="13" customWidth="1"/>
    <col min="10498" max="10498" width="13" style="13" customWidth="1"/>
    <col min="10499" max="10500" width="9.08984375" style="13"/>
    <col min="10501" max="10501" width="13.90625" style="13" customWidth="1"/>
    <col min="10502" max="10502" width="9.08984375" style="13"/>
    <col min="10503" max="10503" width="40.6328125" style="13" customWidth="1"/>
    <col min="10504" max="10752" width="9.08984375" style="13"/>
    <col min="10753" max="10753" width="13.453125" style="13" customWidth="1"/>
    <col min="10754" max="10754" width="13" style="13" customWidth="1"/>
    <col min="10755" max="10756" width="9.08984375" style="13"/>
    <col min="10757" max="10757" width="13.90625" style="13" customWidth="1"/>
    <col min="10758" max="10758" width="9.08984375" style="13"/>
    <col min="10759" max="10759" width="40.6328125" style="13" customWidth="1"/>
    <col min="10760" max="11008" width="9.08984375" style="13"/>
    <col min="11009" max="11009" width="13.453125" style="13" customWidth="1"/>
    <col min="11010" max="11010" width="13" style="13" customWidth="1"/>
    <col min="11011" max="11012" width="9.08984375" style="13"/>
    <col min="11013" max="11013" width="13.90625" style="13" customWidth="1"/>
    <col min="11014" max="11014" width="9.08984375" style="13"/>
    <col min="11015" max="11015" width="40.6328125" style="13" customWidth="1"/>
    <col min="11016" max="11264" width="9.08984375" style="13"/>
    <col min="11265" max="11265" width="13.453125" style="13" customWidth="1"/>
    <col min="11266" max="11266" width="13" style="13" customWidth="1"/>
    <col min="11267" max="11268" width="9.08984375" style="13"/>
    <col min="11269" max="11269" width="13.90625" style="13" customWidth="1"/>
    <col min="11270" max="11270" width="9.08984375" style="13"/>
    <col min="11271" max="11271" width="40.6328125" style="13" customWidth="1"/>
    <col min="11272" max="11520" width="9.08984375" style="13"/>
    <col min="11521" max="11521" width="13.453125" style="13" customWidth="1"/>
    <col min="11522" max="11522" width="13" style="13" customWidth="1"/>
    <col min="11523" max="11524" width="9.08984375" style="13"/>
    <col min="11525" max="11525" width="13.90625" style="13" customWidth="1"/>
    <col min="11526" max="11526" width="9.08984375" style="13"/>
    <col min="11527" max="11527" width="40.6328125" style="13" customWidth="1"/>
    <col min="11528" max="11776" width="9.08984375" style="13"/>
    <col min="11777" max="11777" width="13.453125" style="13" customWidth="1"/>
    <col min="11778" max="11778" width="13" style="13" customWidth="1"/>
    <col min="11779" max="11780" width="9.08984375" style="13"/>
    <col min="11781" max="11781" width="13.90625" style="13" customWidth="1"/>
    <col min="11782" max="11782" width="9.08984375" style="13"/>
    <col min="11783" max="11783" width="40.6328125" style="13" customWidth="1"/>
    <col min="11784" max="12032" width="9.08984375" style="13"/>
    <col min="12033" max="12033" width="13.453125" style="13" customWidth="1"/>
    <col min="12034" max="12034" width="13" style="13" customWidth="1"/>
    <col min="12035" max="12036" width="9.08984375" style="13"/>
    <col min="12037" max="12037" width="13.90625" style="13" customWidth="1"/>
    <col min="12038" max="12038" width="9.08984375" style="13"/>
    <col min="12039" max="12039" width="40.6328125" style="13" customWidth="1"/>
    <col min="12040" max="12288" width="9.08984375" style="13"/>
    <col min="12289" max="12289" width="13.453125" style="13" customWidth="1"/>
    <col min="12290" max="12290" width="13" style="13" customWidth="1"/>
    <col min="12291" max="12292" width="9.08984375" style="13"/>
    <col min="12293" max="12293" width="13.90625" style="13" customWidth="1"/>
    <col min="12294" max="12294" width="9.08984375" style="13"/>
    <col min="12295" max="12295" width="40.6328125" style="13" customWidth="1"/>
    <col min="12296" max="12544" width="9.08984375" style="13"/>
    <col min="12545" max="12545" width="13.453125" style="13" customWidth="1"/>
    <col min="12546" max="12546" width="13" style="13" customWidth="1"/>
    <col min="12547" max="12548" width="9.08984375" style="13"/>
    <col min="12549" max="12549" width="13.90625" style="13" customWidth="1"/>
    <col min="12550" max="12550" width="9.08984375" style="13"/>
    <col min="12551" max="12551" width="40.6328125" style="13" customWidth="1"/>
    <col min="12552" max="12800" width="9.08984375" style="13"/>
    <col min="12801" max="12801" width="13.453125" style="13" customWidth="1"/>
    <col min="12802" max="12802" width="13" style="13" customWidth="1"/>
    <col min="12803" max="12804" width="9.08984375" style="13"/>
    <col min="12805" max="12805" width="13.90625" style="13" customWidth="1"/>
    <col min="12806" max="12806" width="9.08984375" style="13"/>
    <col min="12807" max="12807" width="40.6328125" style="13" customWidth="1"/>
    <col min="12808" max="13056" width="9.08984375" style="13"/>
    <col min="13057" max="13057" width="13.453125" style="13" customWidth="1"/>
    <col min="13058" max="13058" width="13" style="13" customWidth="1"/>
    <col min="13059" max="13060" width="9.08984375" style="13"/>
    <col min="13061" max="13061" width="13.90625" style="13" customWidth="1"/>
    <col min="13062" max="13062" width="9.08984375" style="13"/>
    <col min="13063" max="13063" width="40.6328125" style="13" customWidth="1"/>
    <col min="13064" max="13312" width="9.08984375" style="13"/>
    <col min="13313" max="13313" width="13.453125" style="13" customWidth="1"/>
    <col min="13314" max="13314" width="13" style="13" customWidth="1"/>
    <col min="13315" max="13316" width="9.08984375" style="13"/>
    <col min="13317" max="13317" width="13.90625" style="13" customWidth="1"/>
    <col min="13318" max="13318" width="9.08984375" style="13"/>
    <col min="13319" max="13319" width="40.6328125" style="13" customWidth="1"/>
    <col min="13320" max="13568" width="9.08984375" style="13"/>
    <col min="13569" max="13569" width="13.453125" style="13" customWidth="1"/>
    <col min="13570" max="13570" width="13" style="13" customWidth="1"/>
    <col min="13571" max="13572" width="9.08984375" style="13"/>
    <col min="13573" max="13573" width="13.90625" style="13" customWidth="1"/>
    <col min="13574" max="13574" width="9.08984375" style="13"/>
    <col min="13575" max="13575" width="40.6328125" style="13" customWidth="1"/>
    <col min="13576" max="13824" width="9.08984375" style="13"/>
    <col min="13825" max="13825" width="13.453125" style="13" customWidth="1"/>
    <col min="13826" max="13826" width="13" style="13" customWidth="1"/>
    <col min="13827" max="13828" width="9.08984375" style="13"/>
    <col min="13829" max="13829" width="13.90625" style="13" customWidth="1"/>
    <col min="13830" max="13830" width="9.08984375" style="13"/>
    <col min="13831" max="13831" width="40.6328125" style="13" customWidth="1"/>
    <col min="13832" max="14080" width="9.08984375" style="13"/>
    <col min="14081" max="14081" width="13.453125" style="13" customWidth="1"/>
    <col min="14082" max="14082" width="13" style="13" customWidth="1"/>
    <col min="14083" max="14084" width="9.08984375" style="13"/>
    <col min="14085" max="14085" width="13.90625" style="13" customWidth="1"/>
    <col min="14086" max="14086" width="9.08984375" style="13"/>
    <col min="14087" max="14087" width="40.6328125" style="13" customWidth="1"/>
    <col min="14088" max="14336" width="9.08984375" style="13"/>
    <col min="14337" max="14337" width="13.453125" style="13" customWidth="1"/>
    <col min="14338" max="14338" width="13" style="13" customWidth="1"/>
    <col min="14339" max="14340" width="9.08984375" style="13"/>
    <col min="14341" max="14341" width="13.90625" style="13" customWidth="1"/>
    <col min="14342" max="14342" width="9.08984375" style="13"/>
    <col min="14343" max="14343" width="40.6328125" style="13" customWidth="1"/>
    <col min="14344" max="14592" width="9.08984375" style="13"/>
    <col min="14593" max="14593" width="13.453125" style="13" customWidth="1"/>
    <col min="14594" max="14594" width="13" style="13" customWidth="1"/>
    <col min="14595" max="14596" width="9.08984375" style="13"/>
    <col min="14597" max="14597" width="13.90625" style="13" customWidth="1"/>
    <col min="14598" max="14598" width="9.08984375" style="13"/>
    <col min="14599" max="14599" width="40.6328125" style="13" customWidth="1"/>
    <col min="14600" max="14848" width="9.08984375" style="13"/>
    <col min="14849" max="14849" width="13.453125" style="13" customWidth="1"/>
    <col min="14850" max="14850" width="13" style="13" customWidth="1"/>
    <col min="14851" max="14852" width="9.08984375" style="13"/>
    <col min="14853" max="14853" width="13.90625" style="13" customWidth="1"/>
    <col min="14854" max="14854" width="9.08984375" style="13"/>
    <col min="14855" max="14855" width="40.6328125" style="13" customWidth="1"/>
    <col min="14856" max="15104" width="9.08984375" style="13"/>
    <col min="15105" max="15105" width="13.453125" style="13" customWidth="1"/>
    <col min="15106" max="15106" width="13" style="13" customWidth="1"/>
    <col min="15107" max="15108" width="9.08984375" style="13"/>
    <col min="15109" max="15109" width="13.90625" style="13" customWidth="1"/>
    <col min="15110" max="15110" width="9.08984375" style="13"/>
    <col min="15111" max="15111" width="40.6328125" style="13" customWidth="1"/>
    <col min="15112" max="15360" width="9.08984375" style="13"/>
    <col min="15361" max="15361" width="13.453125" style="13" customWidth="1"/>
    <col min="15362" max="15362" width="13" style="13" customWidth="1"/>
    <col min="15363" max="15364" width="9.08984375" style="13"/>
    <col min="15365" max="15365" width="13.90625" style="13" customWidth="1"/>
    <col min="15366" max="15366" width="9.08984375" style="13"/>
    <col min="15367" max="15367" width="40.6328125" style="13" customWidth="1"/>
    <col min="15368" max="15616" width="9.08984375" style="13"/>
    <col min="15617" max="15617" width="13.453125" style="13" customWidth="1"/>
    <col min="15618" max="15618" width="13" style="13" customWidth="1"/>
    <col min="15619" max="15620" width="9.08984375" style="13"/>
    <col min="15621" max="15621" width="13.90625" style="13" customWidth="1"/>
    <col min="15622" max="15622" width="9.08984375" style="13"/>
    <col min="15623" max="15623" width="40.6328125" style="13" customWidth="1"/>
    <col min="15624" max="15872" width="9.08984375" style="13"/>
    <col min="15873" max="15873" width="13.453125" style="13" customWidth="1"/>
    <col min="15874" max="15874" width="13" style="13" customWidth="1"/>
    <col min="15875" max="15876" width="9.08984375" style="13"/>
    <col min="15877" max="15877" width="13.90625" style="13" customWidth="1"/>
    <col min="15878" max="15878" width="9.08984375" style="13"/>
    <col min="15879" max="15879" width="40.6328125" style="13" customWidth="1"/>
    <col min="15880" max="16128" width="9.08984375" style="13"/>
    <col min="16129" max="16129" width="13.453125" style="13" customWidth="1"/>
    <col min="16130" max="16130" width="13" style="13" customWidth="1"/>
    <col min="16131" max="16132" width="9.08984375" style="13"/>
    <col min="16133" max="16133" width="13.90625" style="13" customWidth="1"/>
    <col min="16134" max="16134" width="9.08984375" style="13"/>
    <col min="16135" max="16135" width="40.6328125" style="13" customWidth="1"/>
    <col min="16136" max="16384" width="9.08984375" style="13"/>
  </cols>
  <sheetData>
    <row r="1" spans="1:7" ht="16" thickBot="1" x14ac:dyDescent="0.4">
      <c r="A1" s="1024" t="s">
        <v>665</v>
      </c>
      <c r="B1" s="1024"/>
      <c r="C1" s="1024"/>
    </row>
    <row r="2" spans="1:7" x14ac:dyDescent="0.35">
      <c r="A2" s="104" t="s">
        <v>666</v>
      </c>
      <c r="B2" s="105" t="s">
        <v>667</v>
      </c>
      <c r="C2" s="106"/>
    </row>
    <row r="3" spans="1:7" x14ac:dyDescent="0.35">
      <c r="A3" s="107" t="s">
        <v>668</v>
      </c>
      <c r="B3" s="102" t="s">
        <v>657</v>
      </c>
      <c r="C3" s="108" t="s">
        <v>669</v>
      </c>
    </row>
    <row r="4" spans="1:7" x14ac:dyDescent="0.35">
      <c r="A4" s="107">
        <v>125</v>
      </c>
      <c r="B4" s="103">
        <v>45</v>
      </c>
      <c r="C4" s="108">
        <v>0</v>
      </c>
      <c r="G4" s="90"/>
    </row>
    <row r="5" spans="1:7" x14ac:dyDescent="0.35">
      <c r="A5" s="107">
        <v>250</v>
      </c>
      <c r="B5" s="103">
        <v>27</v>
      </c>
      <c r="C5" s="108">
        <v>0</v>
      </c>
      <c r="G5" s="90"/>
    </row>
    <row r="6" spans="1:7" x14ac:dyDescent="0.35">
      <c r="A6" s="107">
        <v>500</v>
      </c>
      <c r="B6" s="103">
        <v>13.5</v>
      </c>
      <c r="C6" s="108">
        <v>0</v>
      </c>
      <c r="G6" s="91"/>
    </row>
    <row r="7" spans="1:7" x14ac:dyDescent="0.35">
      <c r="A7" s="107">
        <v>750</v>
      </c>
      <c r="B7" s="103">
        <v>9</v>
      </c>
      <c r="C7" s="108">
        <v>0</v>
      </c>
      <c r="G7" s="91"/>
    </row>
    <row r="8" spans="1:7" x14ac:dyDescent="0.35">
      <c r="A8" s="107">
        <v>1000</v>
      </c>
      <c r="B8" s="103">
        <v>7.5</v>
      </c>
      <c r="C8" s="108">
        <v>0</v>
      </c>
      <c r="G8" s="91"/>
    </row>
    <row r="9" spans="1:7" x14ac:dyDescent="0.35">
      <c r="A9" s="107">
        <v>1500</v>
      </c>
      <c r="B9" s="103">
        <v>7.5</v>
      </c>
      <c r="C9" s="108">
        <v>0</v>
      </c>
      <c r="G9" s="91"/>
    </row>
    <row r="10" spans="1:7" x14ac:dyDescent="0.35">
      <c r="A10" s="107">
        <v>2000</v>
      </c>
      <c r="B10" s="103">
        <v>9</v>
      </c>
      <c r="C10" s="108">
        <v>0</v>
      </c>
      <c r="G10" s="91"/>
    </row>
    <row r="11" spans="1:7" x14ac:dyDescent="0.35">
      <c r="A11" s="107">
        <v>3000</v>
      </c>
      <c r="B11" s="103">
        <v>11.5</v>
      </c>
      <c r="C11" s="108">
        <v>0</v>
      </c>
      <c r="G11" s="91"/>
    </row>
    <row r="12" spans="1:7" x14ac:dyDescent="0.35">
      <c r="A12" s="107">
        <v>4000</v>
      </c>
      <c r="B12" s="103">
        <v>12</v>
      </c>
      <c r="C12" s="108">
        <v>0</v>
      </c>
      <c r="G12" s="91"/>
    </row>
    <row r="13" spans="1:7" x14ac:dyDescent="0.35">
      <c r="A13" s="107">
        <v>6000</v>
      </c>
      <c r="B13" s="103">
        <v>16</v>
      </c>
      <c r="C13" s="108">
        <v>0</v>
      </c>
      <c r="G13" s="91"/>
    </row>
    <row r="14" spans="1:7" x14ac:dyDescent="0.35">
      <c r="A14" s="107">
        <v>8000</v>
      </c>
      <c r="B14" s="103">
        <v>15.5</v>
      </c>
      <c r="C14" s="108">
        <v>0</v>
      </c>
      <c r="G14" s="91"/>
    </row>
    <row r="15" spans="1:7" ht="16" thickBot="1" x14ac:dyDescent="0.4">
      <c r="A15" s="109" t="s">
        <v>670</v>
      </c>
      <c r="B15" s="110">
        <v>20</v>
      </c>
      <c r="C15" s="111">
        <v>0</v>
      </c>
      <c r="G15" s="90"/>
    </row>
    <row r="16" spans="1:7" x14ac:dyDescent="0.35">
      <c r="G16" s="90"/>
    </row>
    <row r="18" spans="1:9" x14ac:dyDescent="0.35">
      <c r="A18" s="89" t="s">
        <v>671</v>
      </c>
    </row>
    <row r="20" spans="1:9" ht="16" thickBot="1" x14ac:dyDescent="0.4">
      <c r="A20" s="89" t="s">
        <v>672</v>
      </c>
    </row>
    <row r="21" spans="1:9" ht="16.5" thickTop="1" thickBot="1" x14ac:dyDescent="0.4">
      <c r="H21" s="977" t="s">
        <v>752</v>
      </c>
      <c r="I21" s="978"/>
    </row>
    <row r="22" spans="1:9" s="12" customFormat="1" x14ac:dyDescent="0.35">
      <c r="A22" s="2"/>
      <c r="B22" s="1041" t="s">
        <v>673</v>
      </c>
      <c r="C22" s="1042"/>
      <c r="D22" s="13"/>
      <c r="E22" s="1041" t="s">
        <v>674</v>
      </c>
      <c r="F22" s="1042"/>
      <c r="H22" s="979"/>
      <c r="I22" s="980"/>
    </row>
    <row r="23" spans="1:9" x14ac:dyDescent="0.35">
      <c r="B23" s="112" t="s">
        <v>657</v>
      </c>
      <c r="C23" s="113">
        <v>75</v>
      </c>
      <c r="E23" s="114" t="s">
        <v>669</v>
      </c>
      <c r="F23" s="113">
        <v>52.5</v>
      </c>
      <c r="H23" s="979"/>
      <c r="I23" s="980"/>
    </row>
    <row r="24" spans="1:9" x14ac:dyDescent="0.35">
      <c r="B24" s="112" t="s">
        <v>666</v>
      </c>
      <c r="C24" s="113">
        <v>125</v>
      </c>
      <c r="E24" s="114" t="s">
        <v>666</v>
      </c>
      <c r="F24" s="113">
        <v>1000</v>
      </c>
      <c r="H24" s="979"/>
      <c r="I24" s="980"/>
    </row>
    <row r="25" spans="1:9" ht="16" thickBot="1" x14ac:dyDescent="0.4">
      <c r="B25" s="115" t="s">
        <v>669</v>
      </c>
      <c r="C25" s="116">
        <f>C23-D41</f>
        <v>30</v>
      </c>
      <c r="D25" s="117"/>
      <c r="E25" s="118" t="s">
        <v>657</v>
      </c>
      <c r="F25" s="116">
        <f>F23+F41</f>
        <v>60</v>
      </c>
      <c r="H25" s="981"/>
      <c r="I25" s="982"/>
    </row>
    <row r="26" spans="1:9" x14ac:dyDescent="0.35">
      <c r="E26" s="87"/>
    </row>
    <row r="27" spans="1:9" x14ac:dyDescent="0.35">
      <c r="B27" s="1040" t="s">
        <v>710</v>
      </c>
      <c r="C27" s="1040"/>
      <c r="D27" s="1040"/>
      <c r="E27" s="1040"/>
      <c r="F27" s="1040"/>
    </row>
    <row r="28" spans="1:9" x14ac:dyDescent="0.35">
      <c r="B28" s="1040"/>
      <c r="C28" s="1040"/>
      <c r="D28" s="1040"/>
      <c r="E28" s="1040"/>
      <c r="F28" s="1040"/>
    </row>
    <row r="41" spans="3:6" x14ac:dyDescent="0.35">
      <c r="C41" s="87" t="s">
        <v>675</v>
      </c>
      <c r="D41" s="13">
        <f>VLOOKUP(C24,A4:B14,2,FALSE)</f>
        <v>45</v>
      </c>
      <c r="F41" s="13">
        <f>VLOOKUP(F24,A4:B14,2,FALSE)</f>
        <v>7.5</v>
      </c>
    </row>
  </sheetData>
  <mergeCells count="6">
    <mergeCell ref="B28:F28"/>
    <mergeCell ref="H21:I25"/>
    <mergeCell ref="A1:C1"/>
    <mergeCell ref="B22:C22"/>
    <mergeCell ref="E22:F22"/>
    <mergeCell ref="B27:F27"/>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2"/>
  <sheetViews>
    <sheetView workbookViewId="0">
      <selection activeCell="A22" sqref="A22:C22"/>
    </sheetView>
  </sheetViews>
  <sheetFormatPr defaultRowHeight="12.5" x14ac:dyDescent="0.25"/>
  <cols>
    <col min="1" max="1" width="28" customWidth="1"/>
    <col min="2" max="2" width="10.08984375" style="3" customWidth="1"/>
    <col min="3" max="3" width="9.453125" bestFit="1" customWidth="1"/>
    <col min="5" max="5" width="11.08984375" customWidth="1"/>
    <col min="6" max="6" width="14.6328125" customWidth="1"/>
    <col min="257" max="257" width="28" customWidth="1"/>
    <col min="258" max="258" width="10.08984375" customWidth="1"/>
    <col min="261" max="261" width="11.08984375" customWidth="1"/>
    <col min="262" max="262" width="14.6328125" customWidth="1"/>
    <col min="513" max="513" width="28" customWidth="1"/>
    <col min="514" max="514" width="10.08984375" customWidth="1"/>
    <col min="517" max="517" width="11.08984375" customWidth="1"/>
    <col min="518" max="518" width="14.6328125" customWidth="1"/>
    <col min="769" max="769" width="28" customWidth="1"/>
    <col min="770" max="770" width="10.08984375" customWidth="1"/>
    <col min="773" max="773" width="11.08984375" customWidth="1"/>
    <col min="774" max="774" width="14.6328125" customWidth="1"/>
    <col min="1025" max="1025" width="28" customWidth="1"/>
    <col min="1026" max="1026" width="10.08984375" customWidth="1"/>
    <col min="1029" max="1029" width="11.08984375" customWidth="1"/>
    <col min="1030" max="1030" width="14.6328125" customWidth="1"/>
    <col min="1281" max="1281" width="28" customWidth="1"/>
    <col min="1282" max="1282" width="10.08984375" customWidth="1"/>
    <col min="1285" max="1285" width="11.08984375" customWidth="1"/>
    <col min="1286" max="1286" width="14.6328125" customWidth="1"/>
    <col min="1537" max="1537" width="28" customWidth="1"/>
    <col min="1538" max="1538" width="10.08984375" customWidth="1"/>
    <col min="1541" max="1541" width="11.08984375" customWidth="1"/>
    <col min="1542" max="1542" width="14.6328125" customWidth="1"/>
    <col min="1793" max="1793" width="28" customWidth="1"/>
    <col min="1794" max="1794" width="10.08984375" customWidth="1"/>
    <col min="1797" max="1797" width="11.08984375" customWidth="1"/>
    <col min="1798" max="1798" width="14.6328125" customWidth="1"/>
    <col min="2049" max="2049" width="28" customWidth="1"/>
    <col min="2050" max="2050" width="10.08984375" customWidth="1"/>
    <col min="2053" max="2053" width="11.08984375" customWidth="1"/>
    <col min="2054" max="2054" width="14.6328125" customWidth="1"/>
    <col min="2305" max="2305" width="28" customWidth="1"/>
    <col min="2306" max="2306" width="10.08984375" customWidth="1"/>
    <col min="2309" max="2309" width="11.08984375" customWidth="1"/>
    <col min="2310" max="2310" width="14.6328125" customWidth="1"/>
    <col min="2561" max="2561" width="28" customWidth="1"/>
    <col min="2562" max="2562" width="10.08984375" customWidth="1"/>
    <col min="2565" max="2565" width="11.08984375" customWidth="1"/>
    <col min="2566" max="2566" width="14.6328125" customWidth="1"/>
    <col min="2817" max="2817" width="28" customWidth="1"/>
    <col min="2818" max="2818" width="10.08984375" customWidth="1"/>
    <col min="2821" max="2821" width="11.08984375" customWidth="1"/>
    <col min="2822" max="2822" width="14.6328125" customWidth="1"/>
    <col min="3073" max="3073" width="28" customWidth="1"/>
    <col min="3074" max="3074" width="10.08984375" customWidth="1"/>
    <col min="3077" max="3077" width="11.08984375" customWidth="1"/>
    <col min="3078" max="3078" width="14.6328125" customWidth="1"/>
    <col min="3329" max="3329" width="28" customWidth="1"/>
    <col min="3330" max="3330" width="10.08984375" customWidth="1"/>
    <col min="3333" max="3333" width="11.08984375" customWidth="1"/>
    <col min="3334" max="3334" width="14.6328125" customWidth="1"/>
    <col min="3585" max="3585" width="28" customWidth="1"/>
    <col min="3586" max="3586" width="10.08984375" customWidth="1"/>
    <col min="3589" max="3589" width="11.08984375" customWidth="1"/>
    <col min="3590" max="3590" width="14.6328125" customWidth="1"/>
    <col min="3841" max="3841" width="28" customWidth="1"/>
    <col min="3842" max="3842" width="10.08984375" customWidth="1"/>
    <col min="3845" max="3845" width="11.08984375" customWidth="1"/>
    <col min="3846" max="3846" width="14.6328125" customWidth="1"/>
    <col min="4097" max="4097" width="28" customWidth="1"/>
    <col min="4098" max="4098" width="10.08984375" customWidth="1"/>
    <col min="4101" max="4101" width="11.08984375" customWidth="1"/>
    <col min="4102" max="4102" width="14.6328125" customWidth="1"/>
    <col min="4353" max="4353" width="28" customWidth="1"/>
    <col min="4354" max="4354" width="10.08984375" customWidth="1"/>
    <col min="4357" max="4357" width="11.08984375" customWidth="1"/>
    <col min="4358" max="4358" width="14.6328125" customWidth="1"/>
    <col min="4609" max="4609" width="28" customWidth="1"/>
    <col min="4610" max="4610" width="10.08984375" customWidth="1"/>
    <col min="4613" max="4613" width="11.08984375" customWidth="1"/>
    <col min="4614" max="4614" width="14.6328125" customWidth="1"/>
    <col min="4865" max="4865" width="28" customWidth="1"/>
    <col min="4866" max="4866" width="10.08984375" customWidth="1"/>
    <col min="4869" max="4869" width="11.08984375" customWidth="1"/>
    <col min="4870" max="4870" width="14.6328125" customWidth="1"/>
    <col min="5121" max="5121" width="28" customWidth="1"/>
    <col min="5122" max="5122" width="10.08984375" customWidth="1"/>
    <col min="5125" max="5125" width="11.08984375" customWidth="1"/>
    <col min="5126" max="5126" width="14.6328125" customWidth="1"/>
    <col min="5377" max="5377" width="28" customWidth="1"/>
    <col min="5378" max="5378" width="10.08984375" customWidth="1"/>
    <col min="5381" max="5381" width="11.08984375" customWidth="1"/>
    <col min="5382" max="5382" width="14.6328125" customWidth="1"/>
    <col min="5633" max="5633" width="28" customWidth="1"/>
    <col min="5634" max="5634" width="10.08984375" customWidth="1"/>
    <col min="5637" max="5637" width="11.08984375" customWidth="1"/>
    <col min="5638" max="5638" width="14.6328125" customWidth="1"/>
    <col min="5889" max="5889" width="28" customWidth="1"/>
    <col min="5890" max="5890" width="10.08984375" customWidth="1"/>
    <col min="5893" max="5893" width="11.08984375" customWidth="1"/>
    <col min="5894" max="5894" width="14.6328125" customWidth="1"/>
    <col min="6145" max="6145" width="28" customWidth="1"/>
    <col min="6146" max="6146" width="10.08984375" customWidth="1"/>
    <col min="6149" max="6149" width="11.08984375" customWidth="1"/>
    <col min="6150" max="6150" width="14.6328125" customWidth="1"/>
    <col min="6401" max="6401" width="28" customWidth="1"/>
    <col min="6402" max="6402" width="10.08984375" customWidth="1"/>
    <col min="6405" max="6405" width="11.08984375" customWidth="1"/>
    <col min="6406" max="6406" width="14.6328125" customWidth="1"/>
    <col min="6657" max="6657" width="28" customWidth="1"/>
    <col min="6658" max="6658" width="10.08984375" customWidth="1"/>
    <col min="6661" max="6661" width="11.08984375" customWidth="1"/>
    <col min="6662" max="6662" width="14.6328125" customWidth="1"/>
    <col min="6913" max="6913" width="28" customWidth="1"/>
    <col min="6914" max="6914" width="10.08984375" customWidth="1"/>
    <col min="6917" max="6917" width="11.08984375" customWidth="1"/>
    <col min="6918" max="6918" width="14.6328125" customWidth="1"/>
    <col min="7169" max="7169" width="28" customWidth="1"/>
    <col min="7170" max="7170" width="10.08984375" customWidth="1"/>
    <col min="7173" max="7173" width="11.08984375" customWidth="1"/>
    <col min="7174" max="7174" width="14.6328125" customWidth="1"/>
    <col min="7425" max="7425" width="28" customWidth="1"/>
    <col min="7426" max="7426" width="10.08984375" customWidth="1"/>
    <col min="7429" max="7429" width="11.08984375" customWidth="1"/>
    <col min="7430" max="7430" width="14.6328125" customWidth="1"/>
    <col min="7681" max="7681" width="28" customWidth="1"/>
    <col min="7682" max="7682" width="10.08984375" customWidth="1"/>
    <col min="7685" max="7685" width="11.08984375" customWidth="1"/>
    <col min="7686" max="7686" width="14.6328125" customWidth="1"/>
    <col min="7937" max="7937" width="28" customWidth="1"/>
    <col min="7938" max="7938" width="10.08984375" customWidth="1"/>
    <col min="7941" max="7941" width="11.08984375" customWidth="1"/>
    <col min="7942" max="7942" width="14.6328125" customWidth="1"/>
    <col min="8193" max="8193" width="28" customWidth="1"/>
    <col min="8194" max="8194" width="10.08984375" customWidth="1"/>
    <col min="8197" max="8197" width="11.08984375" customWidth="1"/>
    <col min="8198" max="8198" width="14.6328125" customWidth="1"/>
    <col min="8449" max="8449" width="28" customWidth="1"/>
    <col min="8450" max="8450" width="10.08984375" customWidth="1"/>
    <col min="8453" max="8453" width="11.08984375" customWidth="1"/>
    <col min="8454" max="8454" width="14.6328125" customWidth="1"/>
    <col min="8705" max="8705" width="28" customWidth="1"/>
    <col min="8706" max="8706" width="10.08984375" customWidth="1"/>
    <col min="8709" max="8709" width="11.08984375" customWidth="1"/>
    <col min="8710" max="8710" width="14.6328125" customWidth="1"/>
    <col min="8961" max="8961" width="28" customWidth="1"/>
    <col min="8962" max="8962" width="10.08984375" customWidth="1"/>
    <col min="8965" max="8965" width="11.08984375" customWidth="1"/>
    <col min="8966" max="8966" width="14.6328125" customWidth="1"/>
    <col min="9217" max="9217" width="28" customWidth="1"/>
    <col min="9218" max="9218" width="10.08984375" customWidth="1"/>
    <col min="9221" max="9221" width="11.08984375" customWidth="1"/>
    <col min="9222" max="9222" width="14.6328125" customWidth="1"/>
    <col min="9473" max="9473" width="28" customWidth="1"/>
    <col min="9474" max="9474" width="10.08984375" customWidth="1"/>
    <col min="9477" max="9477" width="11.08984375" customWidth="1"/>
    <col min="9478" max="9478" width="14.6328125" customWidth="1"/>
    <col min="9729" max="9729" width="28" customWidth="1"/>
    <col min="9730" max="9730" width="10.08984375" customWidth="1"/>
    <col min="9733" max="9733" width="11.08984375" customWidth="1"/>
    <col min="9734" max="9734" width="14.6328125" customWidth="1"/>
    <col min="9985" max="9985" width="28" customWidth="1"/>
    <col min="9986" max="9986" width="10.08984375" customWidth="1"/>
    <col min="9989" max="9989" width="11.08984375" customWidth="1"/>
    <col min="9990" max="9990" width="14.6328125" customWidth="1"/>
    <col min="10241" max="10241" width="28" customWidth="1"/>
    <col min="10242" max="10242" width="10.08984375" customWidth="1"/>
    <col min="10245" max="10245" width="11.08984375" customWidth="1"/>
    <col min="10246" max="10246" width="14.6328125" customWidth="1"/>
    <col min="10497" max="10497" width="28" customWidth="1"/>
    <col min="10498" max="10498" width="10.08984375" customWidth="1"/>
    <col min="10501" max="10501" width="11.08984375" customWidth="1"/>
    <col min="10502" max="10502" width="14.6328125" customWidth="1"/>
    <col min="10753" max="10753" width="28" customWidth="1"/>
    <col min="10754" max="10754" width="10.08984375" customWidth="1"/>
    <col min="10757" max="10757" width="11.08984375" customWidth="1"/>
    <col min="10758" max="10758" width="14.6328125" customWidth="1"/>
    <col min="11009" max="11009" width="28" customWidth="1"/>
    <col min="11010" max="11010" width="10.08984375" customWidth="1"/>
    <col min="11013" max="11013" width="11.08984375" customWidth="1"/>
    <col min="11014" max="11014" width="14.6328125" customWidth="1"/>
    <col min="11265" max="11265" width="28" customWidth="1"/>
    <col min="11266" max="11266" width="10.08984375" customWidth="1"/>
    <col min="11269" max="11269" width="11.08984375" customWidth="1"/>
    <col min="11270" max="11270" width="14.6328125" customWidth="1"/>
    <col min="11521" max="11521" width="28" customWidth="1"/>
    <col min="11522" max="11522" width="10.08984375" customWidth="1"/>
    <col min="11525" max="11525" width="11.08984375" customWidth="1"/>
    <col min="11526" max="11526" width="14.6328125" customWidth="1"/>
    <col min="11777" max="11777" width="28" customWidth="1"/>
    <col min="11778" max="11778" width="10.08984375" customWidth="1"/>
    <col min="11781" max="11781" width="11.08984375" customWidth="1"/>
    <col min="11782" max="11782" width="14.6328125" customWidth="1"/>
    <col min="12033" max="12033" width="28" customWidth="1"/>
    <col min="12034" max="12034" width="10.08984375" customWidth="1"/>
    <col min="12037" max="12037" width="11.08984375" customWidth="1"/>
    <col min="12038" max="12038" width="14.6328125" customWidth="1"/>
    <col min="12289" max="12289" width="28" customWidth="1"/>
    <col min="12290" max="12290" width="10.08984375" customWidth="1"/>
    <col min="12293" max="12293" width="11.08984375" customWidth="1"/>
    <col min="12294" max="12294" width="14.6328125" customWidth="1"/>
    <col min="12545" max="12545" width="28" customWidth="1"/>
    <col min="12546" max="12546" width="10.08984375" customWidth="1"/>
    <col min="12549" max="12549" width="11.08984375" customWidth="1"/>
    <col min="12550" max="12550" width="14.6328125" customWidth="1"/>
    <col min="12801" max="12801" width="28" customWidth="1"/>
    <col min="12802" max="12802" width="10.08984375" customWidth="1"/>
    <col min="12805" max="12805" width="11.08984375" customWidth="1"/>
    <col min="12806" max="12806" width="14.6328125" customWidth="1"/>
    <col min="13057" max="13057" width="28" customWidth="1"/>
    <col min="13058" max="13058" width="10.08984375" customWidth="1"/>
    <col min="13061" max="13061" width="11.08984375" customWidth="1"/>
    <col min="13062" max="13062" width="14.6328125" customWidth="1"/>
    <col min="13313" max="13313" width="28" customWidth="1"/>
    <col min="13314" max="13314" width="10.08984375" customWidth="1"/>
    <col min="13317" max="13317" width="11.08984375" customWidth="1"/>
    <col min="13318" max="13318" width="14.6328125" customWidth="1"/>
    <col min="13569" max="13569" width="28" customWidth="1"/>
    <col min="13570" max="13570" width="10.08984375" customWidth="1"/>
    <col min="13573" max="13573" width="11.08984375" customWidth="1"/>
    <col min="13574" max="13574" width="14.6328125" customWidth="1"/>
    <col min="13825" max="13825" width="28" customWidth="1"/>
    <col min="13826" max="13826" width="10.08984375" customWidth="1"/>
    <col min="13829" max="13829" width="11.08984375" customWidth="1"/>
    <col min="13830" max="13830" width="14.6328125" customWidth="1"/>
    <col min="14081" max="14081" width="28" customWidth="1"/>
    <col min="14082" max="14082" width="10.08984375" customWidth="1"/>
    <col min="14085" max="14085" width="11.08984375" customWidth="1"/>
    <col min="14086" max="14086" width="14.6328125" customWidth="1"/>
    <col min="14337" max="14337" width="28" customWidth="1"/>
    <col min="14338" max="14338" width="10.08984375" customWidth="1"/>
    <col min="14341" max="14341" width="11.08984375" customWidth="1"/>
    <col min="14342" max="14342" width="14.6328125" customWidth="1"/>
    <col min="14593" max="14593" width="28" customWidth="1"/>
    <col min="14594" max="14594" width="10.08984375" customWidth="1"/>
    <col min="14597" max="14597" width="11.08984375" customWidth="1"/>
    <col min="14598" max="14598" width="14.6328125" customWidth="1"/>
    <col min="14849" max="14849" width="28" customWidth="1"/>
    <col min="14850" max="14850" width="10.08984375" customWidth="1"/>
    <col min="14853" max="14853" width="11.08984375" customWidth="1"/>
    <col min="14854" max="14854" width="14.6328125" customWidth="1"/>
    <col min="15105" max="15105" width="28" customWidth="1"/>
    <col min="15106" max="15106" width="10.08984375" customWidth="1"/>
    <col min="15109" max="15109" width="11.08984375" customWidth="1"/>
    <col min="15110" max="15110" width="14.6328125" customWidth="1"/>
    <col min="15361" max="15361" width="28" customWidth="1"/>
    <col min="15362" max="15362" width="10.08984375" customWidth="1"/>
    <col min="15365" max="15365" width="11.08984375" customWidth="1"/>
    <col min="15366" max="15366" width="14.6328125" customWidth="1"/>
    <col min="15617" max="15617" width="28" customWidth="1"/>
    <col min="15618" max="15618" width="10.08984375" customWidth="1"/>
    <col min="15621" max="15621" width="11.08984375" customWidth="1"/>
    <col min="15622" max="15622" width="14.6328125" customWidth="1"/>
    <col min="15873" max="15873" width="28" customWidth="1"/>
    <col min="15874" max="15874" width="10.08984375" customWidth="1"/>
    <col min="15877" max="15877" width="11.08984375" customWidth="1"/>
    <col min="15878" max="15878" width="14.6328125" customWidth="1"/>
    <col min="16129" max="16129" width="28" customWidth="1"/>
    <col min="16130" max="16130" width="10.08984375" customWidth="1"/>
    <col min="16133" max="16133" width="11.08984375" customWidth="1"/>
    <col min="16134" max="16134" width="14.6328125" customWidth="1"/>
  </cols>
  <sheetData>
    <row r="1" spans="1:16" x14ac:dyDescent="0.25">
      <c r="A1" s="1045" t="s">
        <v>792</v>
      </c>
      <c r="B1" s="1046"/>
      <c r="C1" s="1046"/>
      <c r="D1" s="1046"/>
      <c r="E1" s="1046"/>
      <c r="F1" s="1046"/>
    </row>
    <row r="2" spans="1:16" x14ac:dyDescent="0.25">
      <c r="A2" s="1046"/>
      <c r="B2" s="1046"/>
      <c r="C2" s="1046"/>
      <c r="D2" s="1046"/>
      <c r="E2" s="1046"/>
      <c r="F2" s="1046"/>
    </row>
    <row r="3" spans="1:16" x14ac:dyDescent="0.25">
      <c r="A3" s="1046"/>
      <c r="B3" s="1046"/>
      <c r="C3" s="1046"/>
      <c r="D3" s="1046"/>
      <c r="E3" s="1046"/>
      <c r="F3" s="1046"/>
    </row>
    <row r="4" spans="1:16" ht="13" x14ac:dyDescent="0.3">
      <c r="A4" s="1047" t="s">
        <v>711</v>
      </c>
      <c r="B4" s="1047"/>
      <c r="C4" s="1047"/>
      <c r="D4" s="1047"/>
      <c r="E4" s="1047"/>
      <c r="F4" s="1047"/>
    </row>
    <row r="5" spans="1:16" x14ac:dyDescent="0.25">
      <c r="A5" s="1048" t="s">
        <v>793</v>
      </c>
      <c r="B5" s="961"/>
      <c r="C5" s="961"/>
      <c r="D5" s="961"/>
      <c r="E5" s="961"/>
      <c r="F5" s="961"/>
      <c r="G5" s="961"/>
    </row>
    <row r="6" spans="1:16" ht="13" thickBot="1" x14ac:dyDescent="0.3"/>
    <row r="7" spans="1:16" x14ac:dyDescent="0.25">
      <c r="A7" s="1043" t="s">
        <v>676</v>
      </c>
      <c r="B7" s="1044"/>
      <c r="C7" s="1044"/>
      <c r="D7" s="1044"/>
      <c r="E7" s="1044"/>
      <c r="F7" s="9"/>
      <c r="G7" s="9"/>
      <c r="H7" s="9"/>
      <c r="I7" s="9"/>
      <c r="J7" s="9"/>
      <c r="K7" s="9"/>
      <c r="L7" s="5"/>
    </row>
    <row r="8" spans="1:16" x14ac:dyDescent="0.25">
      <c r="A8" s="26" t="s">
        <v>677</v>
      </c>
      <c r="B8" s="92" t="s">
        <v>669</v>
      </c>
      <c r="C8" s="96">
        <v>50</v>
      </c>
      <c r="D8" s="92" t="s">
        <v>669</v>
      </c>
      <c r="L8" s="6"/>
    </row>
    <row r="9" spans="1:16" x14ac:dyDescent="0.25">
      <c r="A9" s="26" t="s">
        <v>678</v>
      </c>
      <c r="B9" s="92" t="s">
        <v>669</v>
      </c>
      <c r="C9" s="96">
        <v>50</v>
      </c>
      <c r="D9" s="92" t="s">
        <v>669</v>
      </c>
      <c r="F9" s="1049" t="s">
        <v>679</v>
      </c>
      <c r="G9" s="1049"/>
      <c r="H9" s="1049"/>
      <c r="I9" s="1049"/>
      <c r="J9" s="1049"/>
      <c r="K9" s="1049"/>
      <c r="L9" s="1050"/>
    </row>
    <row r="10" spans="1:16" x14ac:dyDescent="0.25">
      <c r="A10" s="26" t="s">
        <v>680</v>
      </c>
      <c r="B10" s="92" t="s">
        <v>681</v>
      </c>
      <c r="C10" s="97">
        <f>C9-C8</f>
        <v>0</v>
      </c>
      <c r="D10" s="92" t="s">
        <v>681</v>
      </c>
      <c r="E10" s="28" t="s">
        <v>682</v>
      </c>
      <c r="F10" s="99" t="str">
        <f>IF(C10&lt;0,"NO",IF(C10=0,"50% of the time","YES"))</f>
        <v>50% of the time</v>
      </c>
      <c r="L10" s="6"/>
    </row>
    <row r="11" spans="1:16" x14ac:dyDescent="0.25">
      <c r="A11" s="7"/>
      <c r="C11" s="21"/>
      <c r="L11" s="6"/>
    </row>
    <row r="12" spans="1:16" x14ac:dyDescent="0.25">
      <c r="A12" s="1051" t="s">
        <v>683</v>
      </c>
      <c r="B12" s="961"/>
      <c r="C12" s="961"/>
      <c r="D12" s="961"/>
      <c r="E12" s="961"/>
      <c r="L12" s="6"/>
    </row>
    <row r="13" spans="1:16" x14ac:dyDescent="0.25">
      <c r="A13" s="26" t="s">
        <v>677</v>
      </c>
      <c r="B13" s="92" t="s">
        <v>657</v>
      </c>
      <c r="C13" s="96">
        <v>30</v>
      </c>
      <c r="D13" s="92" t="s">
        <v>657</v>
      </c>
      <c r="L13" s="6"/>
    </row>
    <row r="14" spans="1:16" x14ac:dyDescent="0.25">
      <c r="A14" s="26" t="s">
        <v>678</v>
      </c>
      <c r="B14" s="92" t="s">
        <v>657</v>
      </c>
      <c r="C14" s="96">
        <v>50</v>
      </c>
      <c r="D14" s="92" t="s">
        <v>657</v>
      </c>
      <c r="F14" s="1049" t="s">
        <v>679</v>
      </c>
      <c r="G14" s="1049"/>
      <c r="H14" s="1049"/>
      <c r="I14" s="1049"/>
      <c r="J14" s="1049"/>
      <c r="K14" s="1049"/>
      <c r="L14" s="1050"/>
    </row>
    <row r="15" spans="1:16" ht="13" thickBot="1" x14ac:dyDescent="0.3">
      <c r="A15" s="22" t="s">
        <v>680</v>
      </c>
      <c r="B15" s="93" t="s">
        <v>681</v>
      </c>
      <c r="C15" s="98">
        <f>C14-C13</f>
        <v>20</v>
      </c>
      <c r="D15" s="93" t="s">
        <v>681</v>
      </c>
      <c r="E15" s="47" t="s">
        <v>682</v>
      </c>
      <c r="F15" s="101" t="str">
        <f>IF(C15&lt;0,"NO",IF(C15=0,"50% of the time","YES"))</f>
        <v>YES</v>
      </c>
      <c r="G15" s="10"/>
      <c r="H15" s="10"/>
      <c r="I15" s="10"/>
      <c r="J15" s="10"/>
      <c r="K15" s="10"/>
      <c r="L15" s="8"/>
    </row>
    <row r="16" spans="1:16" ht="14.25" customHeight="1" thickTop="1" thickBot="1" x14ac:dyDescent="0.3">
      <c r="C16" s="21"/>
      <c r="N16" s="977" t="s">
        <v>752</v>
      </c>
      <c r="O16" s="992"/>
      <c r="P16" s="978"/>
    </row>
    <row r="17" spans="1:16" x14ac:dyDescent="0.25">
      <c r="A17" s="1043" t="s">
        <v>684</v>
      </c>
      <c r="B17" s="1044"/>
      <c r="C17" s="1044"/>
      <c r="D17" s="1044"/>
      <c r="E17" s="1044"/>
      <c r="F17" s="1044"/>
      <c r="G17" s="1044"/>
      <c r="H17" s="1044"/>
      <c r="I17" s="1054"/>
      <c r="N17" s="979"/>
      <c r="O17" s="993"/>
      <c r="P17" s="980"/>
    </row>
    <row r="18" spans="1:16" x14ac:dyDescent="0.25">
      <c r="A18" s="26" t="s">
        <v>677</v>
      </c>
      <c r="B18" s="92" t="s">
        <v>669</v>
      </c>
      <c r="C18" s="96">
        <v>30</v>
      </c>
      <c r="D18" s="92" t="s">
        <v>669</v>
      </c>
      <c r="I18" s="6"/>
      <c r="N18" s="979"/>
      <c r="O18" s="993"/>
      <c r="P18" s="980"/>
    </row>
    <row r="19" spans="1:16" x14ac:dyDescent="0.25">
      <c r="A19" s="26" t="s">
        <v>678</v>
      </c>
      <c r="B19" s="92" t="s">
        <v>657</v>
      </c>
      <c r="C19" s="96">
        <v>50</v>
      </c>
      <c r="D19" s="92" t="s">
        <v>657</v>
      </c>
      <c r="I19" s="6"/>
      <c r="N19" s="979"/>
      <c r="O19" s="993"/>
      <c r="P19" s="980"/>
    </row>
    <row r="20" spans="1:16" x14ac:dyDescent="0.25">
      <c r="A20" s="1051" t="s">
        <v>685</v>
      </c>
      <c r="B20" s="961"/>
      <c r="I20" s="6"/>
      <c r="N20" s="979"/>
      <c r="O20" s="993"/>
      <c r="P20" s="980"/>
    </row>
    <row r="21" spans="1:16" x14ac:dyDescent="0.25">
      <c r="A21" s="7"/>
      <c r="B21" s="92" t="s">
        <v>666</v>
      </c>
      <c r="C21" s="95">
        <v>30</v>
      </c>
      <c r="D21" s="92" t="s">
        <v>668</v>
      </c>
      <c r="I21" s="6"/>
      <c r="N21" s="979"/>
      <c r="O21" s="993"/>
      <c r="P21" s="980"/>
    </row>
    <row r="22" spans="1:16" ht="13" thickBot="1" x14ac:dyDescent="0.3">
      <c r="A22" s="1051" t="s">
        <v>686</v>
      </c>
      <c r="B22" s="961"/>
      <c r="C22" s="961"/>
      <c r="I22" s="6"/>
      <c r="N22" s="981"/>
      <c r="O22" s="994"/>
      <c r="P22" s="982"/>
    </row>
    <row r="23" spans="1:16" ht="13" thickTop="1" x14ac:dyDescent="0.25">
      <c r="A23" s="26" t="s">
        <v>687</v>
      </c>
      <c r="B23" s="92"/>
      <c r="C23" s="97">
        <v>9</v>
      </c>
      <c r="D23" s="92" t="s">
        <v>688</v>
      </c>
      <c r="I23" s="6"/>
    </row>
    <row r="24" spans="1:16" x14ac:dyDescent="0.25">
      <c r="A24" s="26" t="s">
        <v>678</v>
      </c>
      <c r="B24" s="92" t="s">
        <v>657</v>
      </c>
      <c r="C24" s="97">
        <f>C19</f>
        <v>50</v>
      </c>
      <c r="D24" s="92" t="s">
        <v>657</v>
      </c>
      <c r="I24" s="6"/>
    </row>
    <row r="25" spans="1:16" ht="13" thickBot="1" x14ac:dyDescent="0.3">
      <c r="A25" s="22" t="s">
        <v>689</v>
      </c>
      <c r="B25" s="93" t="s">
        <v>669</v>
      </c>
      <c r="C25" s="98">
        <f>C24-C23</f>
        <v>41</v>
      </c>
      <c r="D25" s="93" t="s">
        <v>669</v>
      </c>
      <c r="E25" s="10"/>
      <c r="F25" s="10"/>
      <c r="G25" s="10"/>
      <c r="H25" s="10"/>
      <c r="I25" s="8"/>
    </row>
    <row r="26" spans="1:16" ht="13" thickBot="1" x14ac:dyDescent="0.3">
      <c r="C26" s="21"/>
    </row>
    <row r="27" spans="1:16" x14ac:dyDescent="0.25">
      <c r="A27" s="1043" t="s">
        <v>690</v>
      </c>
      <c r="B27" s="1044"/>
      <c r="C27" s="1044"/>
      <c r="D27" s="1044"/>
      <c r="E27" s="1044"/>
      <c r="F27" s="9"/>
      <c r="G27" s="9"/>
      <c r="H27" s="9"/>
      <c r="I27" s="9"/>
      <c r="J27" s="9"/>
      <c r="K27" s="9"/>
      <c r="L27" s="5"/>
    </row>
    <row r="28" spans="1:16" x14ac:dyDescent="0.25">
      <c r="A28" s="26" t="s">
        <v>677</v>
      </c>
      <c r="B28" s="92" t="s">
        <v>669</v>
      </c>
      <c r="C28" s="97">
        <f>C18</f>
        <v>30</v>
      </c>
      <c r="D28" s="92" t="s">
        <v>669</v>
      </c>
      <c r="F28" s="1049" t="s">
        <v>679</v>
      </c>
      <c r="G28" s="1049"/>
      <c r="H28" s="1049"/>
      <c r="I28" s="1049"/>
      <c r="J28" s="1049"/>
      <c r="K28" s="1049"/>
      <c r="L28" s="1050"/>
    </row>
    <row r="29" spans="1:16" x14ac:dyDescent="0.25">
      <c r="A29" s="26" t="s">
        <v>678</v>
      </c>
      <c r="B29" s="92" t="s">
        <v>669</v>
      </c>
      <c r="C29" s="97">
        <f>C25</f>
        <v>41</v>
      </c>
      <c r="D29" s="92" t="s">
        <v>669</v>
      </c>
      <c r="F29" s="100" t="str">
        <f>IF(C30&lt;0,"NO",IF(C30=0,"50% of the time","YES"))</f>
        <v>YES</v>
      </c>
      <c r="L29" s="6"/>
    </row>
    <row r="30" spans="1:16" ht="13" thickBot="1" x14ac:dyDescent="0.3">
      <c r="A30" s="22" t="s">
        <v>680</v>
      </c>
      <c r="B30" s="93" t="s">
        <v>681</v>
      </c>
      <c r="C30" s="98">
        <f>C29-C28</f>
        <v>11</v>
      </c>
      <c r="D30" s="93" t="s">
        <v>681</v>
      </c>
      <c r="E30" s="47" t="s">
        <v>691</v>
      </c>
      <c r="F30" s="1052" t="s">
        <v>692</v>
      </c>
      <c r="G30" s="1052"/>
      <c r="H30" s="1052"/>
      <c r="I30" s="1052"/>
      <c r="J30" s="1052"/>
      <c r="K30" s="1052"/>
      <c r="L30" s="1053"/>
    </row>
    <row r="31" spans="1:16" ht="13" thickBot="1" x14ac:dyDescent="0.3">
      <c r="C31" s="21"/>
    </row>
    <row r="32" spans="1:16" x14ac:dyDescent="0.25">
      <c r="A32" s="1043" t="s">
        <v>684</v>
      </c>
      <c r="B32" s="1044"/>
      <c r="C32" s="1044"/>
      <c r="D32" s="1044"/>
      <c r="E32" s="1044"/>
      <c r="F32" s="1044"/>
      <c r="G32" s="1044"/>
      <c r="H32" s="1044"/>
      <c r="I32" s="1044"/>
      <c r="J32" s="9"/>
      <c r="K32" s="9"/>
      <c r="L32" s="5"/>
    </row>
    <row r="33" spans="1:12" x14ac:dyDescent="0.25">
      <c r="A33" s="26" t="s">
        <v>677</v>
      </c>
      <c r="B33" s="92" t="s">
        <v>669</v>
      </c>
      <c r="C33" s="96">
        <v>30</v>
      </c>
      <c r="D33" s="92" t="s">
        <v>669</v>
      </c>
      <c r="L33" s="6"/>
    </row>
    <row r="34" spans="1:12" x14ac:dyDescent="0.25">
      <c r="A34" s="26" t="s">
        <v>678</v>
      </c>
      <c r="B34" s="92" t="s">
        <v>657</v>
      </c>
      <c r="C34" s="96">
        <v>50</v>
      </c>
      <c r="D34" s="92" t="s">
        <v>657</v>
      </c>
      <c r="L34" s="6"/>
    </row>
    <row r="35" spans="1:12" x14ac:dyDescent="0.25">
      <c r="A35" s="1051" t="s">
        <v>685</v>
      </c>
      <c r="B35" s="961"/>
      <c r="L35" s="6"/>
    </row>
    <row r="36" spans="1:12" x14ac:dyDescent="0.25">
      <c r="A36" s="7"/>
      <c r="B36" s="92" t="s">
        <v>666</v>
      </c>
      <c r="C36" s="95">
        <v>2000</v>
      </c>
      <c r="D36" s="92" t="s">
        <v>668</v>
      </c>
      <c r="L36" s="6"/>
    </row>
    <row r="37" spans="1:12" x14ac:dyDescent="0.25">
      <c r="A37" s="7" t="s">
        <v>693</v>
      </c>
      <c r="L37" s="6"/>
    </row>
    <row r="38" spans="1:12" x14ac:dyDescent="0.25">
      <c r="A38" s="26" t="s">
        <v>687</v>
      </c>
      <c r="B38" s="92"/>
      <c r="C38" s="97">
        <v>9</v>
      </c>
      <c r="D38" s="92" t="s">
        <v>688</v>
      </c>
      <c r="L38" s="6"/>
    </row>
    <row r="39" spans="1:12" x14ac:dyDescent="0.25">
      <c r="A39" s="26" t="s">
        <v>677</v>
      </c>
      <c r="B39" s="92" t="s">
        <v>669</v>
      </c>
      <c r="C39" s="97">
        <f>C33</f>
        <v>30</v>
      </c>
      <c r="D39" s="92" t="s">
        <v>669</v>
      </c>
      <c r="L39" s="6"/>
    </row>
    <row r="40" spans="1:12" x14ac:dyDescent="0.25">
      <c r="A40" s="26" t="s">
        <v>694</v>
      </c>
      <c r="B40" s="92" t="s">
        <v>657</v>
      </c>
      <c r="C40" s="97">
        <f>C39+C38</f>
        <v>39</v>
      </c>
      <c r="D40" s="92" t="s">
        <v>669</v>
      </c>
      <c r="L40" s="6"/>
    </row>
    <row r="41" spans="1:12" x14ac:dyDescent="0.25">
      <c r="A41" s="7"/>
      <c r="C41" s="21"/>
      <c r="L41" s="6"/>
    </row>
    <row r="42" spans="1:12" x14ac:dyDescent="0.25">
      <c r="A42" s="1051" t="s">
        <v>690</v>
      </c>
      <c r="B42" s="961"/>
      <c r="C42" s="961"/>
      <c r="D42" s="961"/>
      <c r="E42" s="961"/>
      <c r="F42" s="1049" t="s">
        <v>679</v>
      </c>
      <c r="G42" s="1049"/>
      <c r="H42" s="1049"/>
      <c r="I42" s="1049"/>
      <c r="J42" s="1049"/>
      <c r="K42" s="1049"/>
      <c r="L42" s="1050"/>
    </row>
    <row r="43" spans="1:12" x14ac:dyDescent="0.25">
      <c r="A43" s="26" t="s">
        <v>677</v>
      </c>
      <c r="B43" s="92" t="s">
        <v>657</v>
      </c>
      <c r="C43" s="97">
        <f>C40</f>
        <v>39</v>
      </c>
      <c r="D43" s="92" t="s">
        <v>669</v>
      </c>
      <c r="F43" s="99" t="str">
        <f>IF(C45&lt;0,"NO",IF(C45=0,"50% of the time","YES"))</f>
        <v>YES</v>
      </c>
      <c r="L43" s="6"/>
    </row>
    <row r="44" spans="1:12" x14ac:dyDescent="0.25">
      <c r="A44" s="26" t="s">
        <v>678</v>
      </c>
      <c r="B44" s="92" t="s">
        <v>657</v>
      </c>
      <c r="C44" s="97">
        <f>C34</f>
        <v>50</v>
      </c>
      <c r="D44" s="92" t="s">
        <v>669</v>
      </c>
      <c r="L44" s="6"/>
    </row>
    <row r="45" spans="1:12" ht="13" thickBot="1" x14ac:dyDescent="0.3">
      <c r="A45" s="22" t="s">
        <v>680</v>
      </c>
      <c r="B45" s="93" t="s">
        <v>681</v>
      </c>
      <c r="C45" s="98">
        <f>C44-C43</f>
        <v>11</v>
      </c>
      <c r="D45" s="93" t="s">
        <v>681</v>
      </c>
      <c r="E45" s="47" t="s">
        <v>691</v>
      </c>
      <c r="F45" s="1052" t="s">
        <v>692</v>
      </c>
      <c r="G45" s="1052"/>
      <c r="H45" s="1052"/>
      <c r="I45" s="1052"/>
      <c r="J45" s="1052"/>
      <c r="K45" s="1052"/>
      <c r="L45" s="1053"/>
    </row>
    <row r="46" spans="1:12" ht="13" thickBot="1" x14ac:dyDescent="0.3">
      <c r="C46" s="21"/>
    </row>
    <row r="47" spans="1:12" x14ac:dyDescent="0.25">
      <c r="A47" s="1043" t="s">
        <v>695</v>
      </c>
      <c r="B47" s="1044"/>
      <c r="C47" s="1044"/>
      <c r="D47" s="1044"/>
      <c r="E47" s="1044"/>
      <c r="F47" s="1044"/>
      <c r="G47" s="1044"/>
      <c r="H47" s="1044"/>
      <c r="I47" s="1044"/>
      <c r="J47" s="1044"/>
      <c r="K47" s="9"/>
      <c r="L47" s="5"/>
    </row>
    <row r="48" spans="1:12" x14ac:dyDescent="0.25">
      <c r="A48" s="26" t="s">
        <v>678</v>
      </c>
      <c r="B48" s="92" t="s">
        <v>669</v>
      </c>
      <c r="C48" s="96">
        <v>50</v>
      </c>
      <c r="D48" s="92" t="s">
        <v>669</v>
      </c>
      <c r="L48" s="6"/>
    </row>
    <row r="49" spans="1:12" x14ac:dyDescent="0.25">
      <c r="A49" s="26" t="s">
        <v>696</v>
      </c>
      <c r="B49" s="92" t="s">
        <v>681</v>
      </c>
      <c r="C49" s="96">
        <v>30</v>
      </c>
      <c r="D49" s="92" t="s">
        <v>681</v>
      </c>
      <c r="L49" s="6"/>
    </row>
    <row r="50" spans="1:12" x14ac:dyDescent="0.25">
      <c r="A50" s="26" t="s">
        <v>697</v>
      </c>
      <c r="B50" s="92" t="s">
        <v>669</v>
      </c>
      <c r="C50" s="97">
        <f>C48-C49</f>
        <v>20</v>
      </c>
      <c r="D50" s="92" t="s">
        <v>669</v>
      </c>
      <c r="E50" s="28" t="s">
        <v>691</v>
      </c>
      <c r="F50" s="1049" t="s">
        <v>698</v>
      </c>
      <c r="G50" s="1049"/>
      <c r="H50" s="1049"/>
      <c r="I50" s="1049"/>
      <c r="L50" s="6"/>
    </row>
    <row r="51" spans="1:12" x14ac:dyDescent="0.25">
      <c r="A51" s="1051" t="s">
        <v>699</v>
      </c>
      <c r="B51" s="961"/>
      <c r="C51" s="961"/>
      <c r="D51" s="961"/>
      <c r="L51" s="6"/>
    </row>
    <row r="52" spans="1:12" x14ac:dyDescent="0.25">
      <c r="A52" s="7"/>
      <c r="B52" s="92" t="s">
        <v>666</v>
      </c>
      <c r="C52" s="95">
        <v>2000</v>
      </c>
      <c r="D52" s="92" t="s">
        <v>668</v>
      </c>
      <c r="F52" s="1049" t="s">
        <v>679</v>
      </c>
      <c r="G52" s="1049"/>
      <c r="H52" s="1049"/>
      <c r="I52" s="1049"/>
      <c r="J52" s="1049"/>
      <c r="K52" s="1049"/>
      <c r="L52" s="1050"/>
    </row>
    <row r="53" spans="1:12" x14ac:dyDescent="0.25">
      <c r="A53" s="26" t="s">
        <v>687</v>
      </c>
      <c r="B53" s="92"/>
      <c r="C53" s="97">
        <v>9</v>
      </c>
      <c r="D53" s="92" t="s">
        <v>688</v>
      </c>
      <c r="F53" s="100" t="str">
        <f>IF(C49&lt;0,"NO",IF(C49=0,"50% of the time","YES"))</f>
        <v>YES</v>
      </c>
      <c r="L53" s="6"/>
    </row>
    <row r="54" spans="1:12" ht="13" thickBot="1" x14ac:dyDescent="0.3">
      <c r="A54" s="22" t="s">
        <v>700</v>
      </c>
      <c r="B54" s="93" t="s">
        <v>657</v>
      </c>
      <c r="C54" s="98">
        <f>C53+C50</f>
        <v>29</v>
      </c>
      <c r="D54" s="93" t="s">
        <v>657</v>
      </c>
      <c r="E54" s="47" t="s">
        <v>691</v>
      </c>
      <c r="F54" s="1052" t="s">
        <v>701</v>
      </c>
      <c r="G54" s="1052"/>
      <c r="H54" s="1052"/>
      <c r="I54" s="1052"/>
      <c r="J54" s="10"/>
      <c r="K54" s="10"/>
      <c r="L54" s="8"/>
    </row>
    <row r="55" spans="1:12" ht="13" thickBot="1" x14ac:dyDescent="0.3">
      <c r="C55" s="21"/>
    </row>
    <row r="56" spans="1:12" x14ac:dyDescent="0.25">
      <c r="A56" s="1043" t="s">
        <v>702</v>
      </c>
      <c r="B56" s="1044"/>
      <c r="C56" s="1044"/>
      <c r="D56" s="1044"/>
      <c r="E56" s="1044"/>
      <c r="F56" s="1044"/>
      <c r="G56" s="1044"/>
      <c r="H56" s="1044"/>
      <c r="I56" s="1044"/>
      <c r="J56" s="1044"/>
      <c r="K56" s="9"/>
      <c r="L56" s="5"/>
    </row>
    <row r="57" spans="1:12" x14ac:dyDescent="0.25">
      <c r="A57" s="26" t="s">
        <v>678</v>
      </c>
      <c r="B57" s="92" t="s">
        <v>657</v>
      </c>
      <c r="C57" s="96">
        <v>50</v>
      </c>
      <c r="D57" s="92" t="s">
        <v>657</v>
      </c>
      <c r="L57" s="6"/>
    </row>
    <row r="58" spans="1:12" x14ac:dyDescent="0.25">
      <c r="A58" s="26" t="s">
        <v>696</v>
      </c>
      <c r="B58" s="92" t="s">
        <v>681</v>
      </c>
      <c r="C58" s="96">
        <v>10</v>
      </c>
      <c r="D58" s="92" t="s">
        <v>681</v>
      </c>
      <c r="L58" s="6"/>
    </row>
    <row r="59" spans="1:12" x14ac:dyDescent="0.25">
      <c r="A59" s="26" t="s">
        <v>700</v>
      </c>
      <c r="B59" s="92" t="s">
        <v>657</v>
      </c>
      <c r="C59" s="97">
        <f>C57-C58</f>
        <v>40</v>
      </c>
      <c r="D59" s="92" t="s">
        <v>657</v>
      </c>
      <c r="E59" s="28" t="s">
        <v>691</v>
      </c>
      <c r="F59" s="1049" t="s">
        <v>698</v>
      </c>
      <c r="G59" s="1049"/>
      <c r="H59" s="1049"/>
      <c r="I59" s="1049"/>
      <c r="L59" s="6"/>
    </row>
    <row r="60" spans="1:12" x14ac:dyDescent="0.25">
      <c r="A60" s="7" t="s">
        <v>703</v>
      </c>
      <c r="C60" s="3"/>
      <c r="D60" s="3"/>
      <c r="L60" s="6"/>
    </row>
    <row r="61" spans="1:12" x14ac:dyDescent="0.25">
      <c r="A61" s="7"/>
      <c r="B61" s="92" t="s">
        <v>666</v>
      </c>
      <c r="C61" s="95">
        <v>2000</v>
      </c>
      <c r="D61" s="92" t="s">
        <v>668</v>
      </c>
      <c r="F61" s="1049" t="s">
        <v>679</v>
      </c>
      <c r="G61" s="1049"/>
      <c r="H61" s="1049"/>
      <c r="I61" s="1049"/>
      <c r="J61" s="1049"/>
      <c r="K61" s="1049"/>
      <c r="L61" s="1050"/>
    </row>
    <row r="62" spans="1:12" x14ac:dyDescent="0.25">
      <c r="A62" s="26" t="s">
        <v>687</v>
      </c>
      <c r="B62" s="92" t="s">
        <v>688</v>
      </c>
      <c r="C62" s="97">
        <v>9</v>
      </c>
      <c r="D62" s="92" t="s">
        <v>688</v>
      </c>
      <c r="F62" s="94" t="str">
        <f>IF(C58&lt;0,"NO",IF(C58=0,"50% of the time","YES"))</f>
        <v>YES</v>
      </c>
      <c r="L62" s="6"/>
    </row>
    <row r="63" spans="1:12" ht="13" thickBot="1" x14ac:dyDescent="0.3">
      <c r="A63" s="22" t="s">
        <v>697</v>
      </c>
      <c r="B63" s="93" t="s">
        <v>669</v>
      </c>
      <c r="C63" s="98">
        <f>C59-C62</f>
        <v>31</v>
      </c>
      <c r="D63" s="93" t="s">
        <v>669</v>
      </c>
      <c r="E63" s="47" t="s">
        <v>691</v>
      </c>
      <c r="F63" s="10"/>
      <c r="G63" s="10"/>
      <c r="H63" s="10"/>
      <c r="I63" s="10"/>
      <c r="J63" s="10"/>
      <c r="K63" s="10"/>
      <c r="L63" s="8"/>
    </row>
    <row r="64" spans="1:12" ht="13" thickBot="1" x14ac:dyDescent="0.3">
      <c r="C64" s="21"/>
    </row>
    <row r="65" spans="1:14" x14ac:dyDescent="0.25">
      <c r="A65" s="1043" t="s">
        <v>704</v>
      </c>
      <c r="B65" s="1044"/>
      <c r="C65" s="1044"/>
      <c r="D65" s="1044"/>
      <c r="E65" s="1044"/>
      <c r="F65" s="1044"/>
      <c r="G65" s="1044"/>
      <c r="H65" s="1044"/>
      <c r="I65" s="1044"/>
      <c r="J65" s="1044"/>
      <c r="K65" s="1044"/>
      <c r="L65" s="1044"/>
      <c r="M65" s="1044"/>
      <c r="N65" s="5"/>
    </row>
    <row r="66" spans="1:14" x14ac:dyDescent="0.25">
      <c r="A66" s="26" t="s">
        <v>705</v>
      </c>
      <c r="B66" s="92" t="s">
        <v>657</v>
      </c>
      <c r="C66" s="96">
        <v>37.5</v>
      </c>
      <c r="D66" s="92" t="s">
        <v>657</v>
      </c>
      <c r="N66" s="6"/>
    </row>
    <row r="67" spans="1:14" x14ac:dyDescent="0.25">
      <c r="A67" s="26" t="s">
        <v>677</v>
      </c>
      <c r="B67" s="92" t="s">
        <v>669</v>
      </c>
      <c r="C67" s="96">
        <v>30</v>
      </c>
      <c r="D67" s="92" t="s">
        <v>681</v>
      </c>
      <c r="N67" s="6"/>
    </row>
    <row r="68" spans="1:14" x14ac:dyDescent="0.25">
      <c r="A68" s="26" t="s">
        <v>666</v>
      </c>
      <c r="B68" s="92" t="s">
        <v>668</v>
      </c>
      <c r="C68" s="95">
        <v>1000</v>
      </c>
      <c r="D68" s="92" t="s">
        <v>668</v>
      </c>
      <c r="N68" s="6"/>
    </row>
    <row r="69" spans="1:14" x14ac:dyDescent="0.25">
      <c r="A69" s="26" t="s">
        <v>687</v>
      </c>
      <c r="B69" s="92" t="s">
        <v>688</v>
      </c>
      <c r="C69" s="97">
        <v>7.5</v>
      </c>
      <c r="D69" s="92" t="s">
        <v>688</v>
      </c>
      <c r="N69" s="6"/>
    </row>
    <row r="70" spans="1:14" x14ac:dyDescent="0.25">
      <c r="A70" s="26" t="s">
        <v>706</v>
      </c>
      <c r="B70" s="92" t="s">
        <v>657</v>
      </c>
      <c r="C70" s="97">
        <f>C67+C69</f>
        <v>37.5</v>
      </c>
      <c r="D70" s="92" t="s">
        <v>657</v>
      </c>
      <c r="F70" s="1049" t="s">
        <v>679</v>
      </c>
      <c r="G70" s="1049"/>
      <c r="H70" s="1049"/>
      <c r="I70" s="1049"/>
      <c r="J70" s="1049"/>
      <c r="K70" s="1049"/>
      <c r="L70" s="1049"/>
      <c r="N70" s="6"/>
    </row>
    <row r="71" spans="1:14" x14ac:dyDescent="0.25">
      <c r="A71" s="7"/>
      <c r="C71" s="21"/>
      <c r="F71" s="100" t="str">
        <f>IF(C72&lt;0,"NO",IF(C72=0,"50% of the time","YES"))</f>
        <v>50% of the time</v>
      </c>
      <c r="N71" s="6"/>
    </row>
    <row r="72" spans="1:14" ht="13" thickBot="1" x14ac:dyDescent="0.3">
      <c r="A72" s="22" t="s">
        <v>707</v>
      </c>
      <c r="B72" s="93" t="s">
        <v>681</v>
      </c>
      <c r="C72" s="98">
        <f>C66-C70</f>
        <v>0</v>
      </c>
      <c r="D72" s="93" t="s">
        <v>681</v>
      </c>
      <c r="E72" s="47" t="s">
        <v>691</v>
      </c>
      <c r="F72" s="1052" t="s">
        <v>708</v>
      </c>
      <c r="G72" s="1052"/>
      <c r="H72" s="1052"/>
      <c r="I72" s="1052"/>
      <c r="J72" s="1052"/>
      <c r="K72" s="1052"/>
      <c r="L72" s="1052"/>
      <c r="M72" s="1052"/>
      <c r="N72" s="1053"/>
    </row>
  </sheetData>
  <mergeCells count="30">
    <mergeCell ref="F59:I59"/>
    <mergeCell ref="F61:L61"/>
    <mergeCell ref="A65:M65"/>
    <mergeCell ref="F70:L70"/>
    <mergeCell ref="F72:N72"/>
    <mergeCell ref="A47:J47"/>
    <mergeCell ref="F50:I50"/>
    <mergeCell ref="F52:L52"/>
    <mergeCell ref="F54:I54"/>
    <mergeCell ref="A7:E7"/>
    <mergeCell ref="A12:E12"/>
    <mergeCell ref="A27:E27"/>
    <mergeCell ref="A42:E42"/>
    <mergeCell ref="A51:D51"/>
    <mergeCell ref="N16:P22"/>
    <mergeCell ref="A56:J56"/>
    <mergeCell ref="A1:F3"/>
    <mergeCell ref="A4:F4"/>
    <mergeCell ref="A5:G5"/>
    <mergeCell ref="F42:L42"/>
    <mergeCell ref="A35:B35"/>
    <mergeCell ref="A20:B20"/>
    <mergeCell ref="A22:C22"/>
    <mergeCell ref="F9:L9"/>
    <mergeCell ref="F14:L14"/>
    <mergeCell ref="F28:L28"/>
    <mergeCell ref="F30:L30"/>
    <mergeCell ref="A32:I32"/>
    <mergeCell ref="A17:I17"/>
    <mergeCell ref="F45:L45"/>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29"/>
  <sheetViews>
    <sheetView workbookViewId="0">
      <selection activeCell="F2" sqref="F2"/>
    </sheetView>
  </sheetViews>
  <sheetFormatPr defaultRowHeight="12.5" x14ac:dyDescent="0.25"/>
  <cols>
    <col min="1" max="1" width="11.08984375" bestFit="1" customWidth="1"/>
    <col min="2" max="2" width="12.36328125" bestFit="1" customWidth="1"/>
    <col min="3" max="3" width="11.90625" bestFit="1" customWidth="1"/>
    <col min="4" max="4" width="19.54296875" customWidth="1"/>
    <col min="6" max="6" width="19.90625" bestFit="1" customWidth="1"/>
    <col min="7" max="7" width="9.81640625" bestFit="1" customWidth="1"/>
    <col min="8" max="8" width="5.54296875" bestFit="1" customWidth="1"/>
    <col min="9" max="9" width="15.81640625" customWidth="1"/>
    <col min="23" max="23" width="77.81640625" customWidth="1"/>
    <col min="24" max="24" width="11.90625" bestFit="1" customWidth="1"/>
    <col min="25" max="26" width="9.90625" bestFit="1" customWidth="1"/>
  </cols>
  <sheetData>
    <row r="1" spans="2:26" ht="13" thickBot="1" x14ac:dyDescent="0.3"/>
    <row r="2" spans="2:26" ht="13.5" thickBot="1" x14ac:dyDescent="0.35">
      <c r="B2" s="1065" t="s">
        <v>824</v>
      </c>
      <c r="C2" s="1066"/>
      <c r="D2" s="1066"/>
      <c r="E2" s="1067"/>
      <c r="W2" s="584" t="s">
        <v>1042</v>
      </c>
      <c r="X2" t="s">
        <v>650</v>
      </c>
      <c r="Y2" t="s">
        <v>1043</v>
      </c>
      <c r="Z2" t="s">
        <v>1044</v>
      </c>
    </row>
    <row r="3" spans="2:26" s="583" customFormat="1" ht="13.5" thickBot="1" x14ac:dyDescent="0.35">
      <c r="B3" s="16" t="s">
        <v>818</v>
      </c>
      <c r="C3" s="14" t="s">
        <v>819</v>
      </c>
      <c r="D3" s="14" t="s">
        <v>19</v>
      </c>
      <c r="E3" s="49"/>
      <c r="V3">
        <v>1</v>
      </c>
      <c r="W3" s="585"/>
      <c r="X3" s="586">
        <v>60</v>
      </c>
      <c r="Y3" s="587">
        <f>X3/120</f>
        <v>0.5</v>
      </c>
      <c r="Z3" s="587">
        <f>X3/240</f>
        <v>0.25</v>
      </c>
    </row>
    <row r="4" spans="2:26" ht="13" x14ac:dyDescent="0.3">
      <c r="B4" s="16" t="s">
        <v>823</v>
      </c>
      <c r="C4" s="14" t="s">
        <v>822</v>
      </c>
      <c r="D4" s="14" t="s">
        <v>821</v>
      </c>
      <c r="E4" s="29" t="s">
        <v>820</v>
      </c>
      <c r="F4" s="1068" t="s">
        <v>825</v>
      </c>
      <c r="G4" s="1069"/>
      <c r="V4">
        <f>V3+1</f>
        <v>2</v>
      </c>
      <c r="W4" s="169"/>
      <c r="X4" s="586"/>
      <c r="Y4" s="587">
        <f t="shared" ref="Y4:Y63" si="0">X4/120</f>
        <v>0</v>
      </c>
      <c r="Z4" s="587">
        <f t="shared" ref="Z4:Z63" si="1">X4/240</f>
        <v>0</v>
      </c>
    </row>
    <row r="5" spans="2:26" ht="13" x14ac:dyDescent="0.3">
      <c r="B5" s="202">
        <v>85</v>
      </c>
      <c r="C5" s="196">
        <v>100</v>
      </c>
      <c r="D5" s="197">
        <v>30</v>
      </c>
      <c r="E5" s="203">
        <f t="shared" ref="E5:E13" si="2">1/(SQRT(((B5/1000)*D5)*(6.2831853*(C5*0.000000000001))))</f>
        <v>24982.734687101478</v>
      </c>
      <c r="F5" s="1070"/>
      <c r="G5" s="1071"/>
      <c r="V5">
        <f t="shared" ref="V5:V63" si="3">V4+1</f>
        <v>3</v>
      </c>
      <c r="W5" s="169"/>
      <c r="X5" s="586"/>
      <c r="Y5" s="587">
        <f t="shared" si="0"/>
        <v>0</v>
      </c>
      <c r="Z5" s="587">
        <f t="shared" si="1"/>
        <v>0</v>
      </c>
    </row>
    <row r="6" spans="2:26" ht="13" x14ac:dyDescent="0.3">
      <c r="B6" s="202">
        <v>75</v>
      </c>
      <c r="C6" s="196">
        <v>120</v>
      </c>
      <c r="D6" s="197">
        <v>30</v>
      </c>
      <c r="E6" s="203">
        <f t="shared" si="2"/>
        <v>24278.854027028632</v>
      </c>
      <c r="F6" s="1070"/>
      <c r="G6" s="1071"/>
      <c r="V6">
        <f t="shared" si="3"/>
        <v>4</v>
      </c>
      <c r="W6" s="169"/>
      <c r="X6" s="586"/>
      <c r="Y6" s="587">
        <f t="shared" si="0"/>
        <v>0</v>
      </c>
      <c r="Z6" s="587">
        <f t="shared" si="1"/>
        <v>0</v>
      </c>
    </row>
    <row r="7" spans="2:26" ht="13" x14ac:dyDescent="0.3">
      <c r="B7" s="202">
        <v>50</v>
      </c>
      <c r="C7" s="196">
        <v>47</v>
      </c>
      <c r="D7" s="197">
        <v>30</v>
      </c>
      <c r="E7" s="203">
        <f t="shared" si="2"/>
        <v>47513.334190192174</v>
      </c>
      <c r="F7" s="1070"/>
      <c r="G7" s="1071"/>
      <c r="V7">
        <f t="shared" si="3"/>
        <v>5</v>
      </c>
      <c r="W7" s="169"/>
      <c r="X7" s="586"/>
      <c r="Y7" s="587">
        <f t="shared" si="0"/>
        <v>0</v>
      </c>
      <c r="Z7" s="587">
        <f t="shared" si="1"/>
        <v>0</v>
      </c>
    </row>
    <row r="8" spans="2:26" ht="13" x14ac:dyDescent="0.3">
      <c r="B8" s="202">
        <v>88</v>
      </c>
      <c r="C8" s="196">
        <v>68</v>
      </c>
      <c r="D8" s="197">
        <v>30</v>
      </c>
      <c r="E8" s="203">
        <f t="shared" si="2"/>
        <v>29775.128626499314</v>
      </c>
      <c r="F8" s="1070"/>
      <c r="G8" s="1071"/>
      <c r="V8">
        <f t="shared" si="3"/>
        <v>6</v>
      </c>
      <c r="W8" s="169"/>
      <c r="X8" s="586"/>
      <c r="Y8" s="587">
        <f t="shared" si="0"/>
        <v>0</v>
      </c>
      <c r="Z8" s="587">
        <f t="shared" si="1"/>
        <v>0</v>
      </c>
    </row>
    <row r="9" spans="2:26" ht="13" x14ac:dyDescent="0.3">
      <c r="B9" s="202">
        <v>65</v>
      </c>
      <c r="C9" s="196">
        <v>22</v>
      </c>
      <c r="D9" s="197">
        <v>30</v>
      </c>
      <c r="E9" s="203">
        <f t="shared" si="2"/>
        <v>60908.993076693521</v>
      </c>
      <c r="F9" s="1070"/>
      <c r="G9" s="1071"/>
      <c r="V9">
        <f t="shared" si="3"/>
        <v>7</v>
      </c>
      <c r="W9" s="169"/>
      <c r="X9" s="586"/>
      <c r="Y9" s="587">
        <f t="shared" si="0"/>
        <v>0</v>
      </c>
      <c r="Z9" s="587">
        <f t="shared" si="1"/>
        <v>0</v>
      </c>
    </row>
    <row r="10" spans="2:26" ht="13" x14ac:dyDescent="0.3">
      <c r="B10" s="202">
        <v>57</v>
      </c>
      <c r="C10" s="196">
        <v>75</v>
      </c>
      <c r="D10" s="197">
        <v>30</v>
      </c>
      <c r="E10" s="203">
        <f t="shared" si="2"/>
        <v>35227.463952994178</v>
      </c>
      <c r="F10" s="1070"/>
      <c r="G10" s="1071"/>
      <c r="V10">
        <f t="shared" si="3"/>
        <v>8</v>
      </c>
      <c r="W10" s="169"/>
      <c r="X10" s="586"/>
      <c r="Y10" s="587">
        <f t="shared" si="0"/>
        <v>0</v>
      </c>
      <c r="Z10" s="587">
        <f t="shared" si="1"/>
        <v>0</v>
      </c>
    </row>
    <row r="11" spans="2:26" ht="13" x14ac:dyDescent="0.3">
      <c r="B11" s="202">
        <v>30</v>
      </c>
      <c r="C11" s="196">
        <v>80</v>
      </c>
      <c r="D11" s="197">
        <v>30</v>
      </c>
      <c r="E11" s="203">
        <f t="shared" si="2"/>
        <v>47015.79865584139</v>
      </c>
      <c r="F11" s="1070"/>
      <c r="G11" s="1071"/>
      <c r="V11">
        <f t="shared" si="3"/>
        <v>9</v>
      </c>
      <c r="W11" s="169"/>
      <c r="X11" s="586"/>
      <c r="Y11" s="587">
        <f t="shared" si="0"/>
        <v>0</v>
      </c>
      <c r="Z11" s="587">
        <f t="shared" si="1"/>
        <v>0</v>
      </c>
    </row>
    <row r="12" spans="2:26" ht="13" x14ac:dyDescent="0.3">
      <c r="B12" s="202">
        <v>44</v>
      </c>
      <c r="C12" s="196">
        <v>95</v>
      </c>
      <c r="D12" s="197">
        <v>30</v>
      </c>
      <c r="E12" s="203">
        <f t="shared" si="2"/>
        <v>35625.52702805624</v>
      </c>
      <c r="F12" s="1070"/>
      <c r="G12" s="1071"/>
      <c r="V12">
        <f t="shared" si="3"/>
        <v>10</v>
      </c>
      <c r="W12" s="169"/>
      <c r="X12" s="586"/>
      <c r="Y12" s="587">
        <f t="shared" si="0"/>
        <v>0</v>
      </c>
      <c r="Z12" s="587">
        <f t="shared" si="1"/>
        <v>0</v>
      </c>
    </row>
    <row r="13" spans="2:26" ht="13.5" thickBot="1" x14ac:dyDescent="0.35">
      <c r="B13" s="198">
        <v>120</v>
      </c>
      <c r="C13" s="199">
        <v>44</v>
      </c>
      <c r="D13" s="200">
        <v>30</v>
      </c>
      <c r="E13" s="201">
        <f t="shared" si="2"/>
        <v>31698.044987367746</v>
      </c>
      <c r="F13" s="1072"/>
      <c r="G13" s="1073"/>
      <c r="V13">
        <f t="shared" si="3"/>
        <v>11</v>
      </c>
      <c r="W13" s="169"/>
      <c r="X13" s="586"/>
      <c r="Y13" s="587">
        <f t="shared" si="0"/>
        <v>0</v>
      </c>
      <c r="Z13" s="587">
        <f t="shared" si="1"/>
        <v>0</v>
      </c>
    </row>
    <row r="14" spans="2:26" ht="13" x14ac:dyDescent="0.3">
      <c r="V14">
        <f t="shared" si="3"/>
        <v>12</v>
      </c>
      <c r="W14" s="169"/>
      <c r="X14" s="586"/>
      <c r="Y14" s="587">
        <f t="shared" si="0"/>
        <v>0</v>
      </c>
      <c r="Z14" s="587">
        <f t="shared" si="1"/>
        <v>0</v>
      </c>
    </row>
    <row r="15" spans="2:26" ht="13.25" customHeight="1" x14ac:dyDescent="0.3">
      <c r="V15">
        <f t="shared" si="3"/>
        <v>13</v>
      </c>
      <c r="W15" s="169"/>
      <c r="X15" s="586"/>
      <c r="Y15" s="587">
        <f t="shared" si="0"/>
        <v>0</v>
      </c>
      <c r="Z15" s="587">
        <f t="shared" si="1"/>
        <v>0</v>
      </c>
    </row>
    <row r="16" spans="2:26" ht="13.25" customHeight="1" x14ac:dyDescent="0.3">
      <c r="V16">
        <f t="shared" si="3"/>
        <v>14</v>
      </c>
      <c r="W16" s="169"/>
      <c r="X16" s="586"/>
      <c r="Y16" s="587">
        <f t="shared" si="0"/>
        <v>0</v>
      </c>
      <c r="Z16" s="587">
        <f t="shared" si="1"/>
        <v>0</v>
      </c>
    </row>
    <row r="17" spans="1:26" ht="13.25" customHeight="1" x14ac:dyDescent="0.3">
      <c r="V17">
        <f t="shared" si="3"/>
        <v>15</v>
      </c>
      <c r="W17" s="169"/>
      <c r="X17" s="586"/>
      <c r="Y17" s="587">
        <f t="shared" si="0"/>
        <v>0</v>
      </c>
      <c r="Z17" s="587">
        <f t="shared" si="1"/>
        <v>0</v>
      </c>
    </row>
    <row r="18" spans="1:26" ht="13.25" customHeight="1" x14ac:dyDescent="0.3">
      <c r="A18" s="1048" t="s">
        <v>1151</v>
      </c>
      <c r="B18" s="961"/>
      <c r="V18">
        <f t="shared" si="3"/>
        <v>16</v>
      </c>
      <c r="W18" s="169"/>
      <c r="X18" s="586"/>
      <c r="Y18" s="587">
        <f t="shared" si="0"/>
        <v>0</v>
      </c>
      <c r="Z18" s="587">
        <f t="shared" si="1"/>
        <v>0</v>
      </c>
    </row>
    <row r="19" spans="1:26" ht="13.25" customHeight="1" x14ac:dyDescent="0.3">
      <c r="A19" t="s">
        <v>1149</v>
      </c>
      <c r="B19" s="613">
        <v>8</v>
      </c>
      <c r="V19">
        <f t="shared" si="3"/>
        <v>17</v>
      </c>
      <c r="W19" s="169"/>
      <c r="X19" s="586"/>
      <c r="Y19" s="587">
        <f t="shared" si="0"/>
        <v>0</v>
      </c>
      <c r="Z19" s="587">
        <f t="shared" si="1"/>
        <v>0</v>
      </c>
    </row>
    <row r="20" spans="1:26" ht="13.25" customHeight="1" x14ac:dyDescent="0.3">
      <c r="A20" t="s">
        <v>1150</v>
      </c>
      <c r="B20" s="613">
        <v>0.2</v>
      </c>
      <c r="V20">
        <f t="shared" si="3"/>
        <v>18</v>
      </c>
      <c r="W20" s="169"/>
      <c r="X20" s="586"/>
      <c r="Y20" s="587">
        <f t="shared" si="0"/>
        <v>0</v>
      </c>
      <c r="Z20" s="587">
        <f t="shared" si="1"/>
        <v>0</v>
      </c>
    </row>
    <row r="21" spans="1:26" ht="13.25" customHeight="1" x14ac:dyDescent="0.3">
      <c r="V21">
        <f t="shared" si="3"/>
        <v>19</v>
      </c>
      <c r="W21" s="169"/>
      <c r="X21" s="586"/>
      <c r="Y21" s="587">
        <f t="shared" si="0"/>
        <v>0</v>
      </c>
      <c r="Z21" s="587">
        <f t="shared" si="1"/>
        <v>0</v>
      </c>
    </row>
    <row r="22" spans="1:26" ht="13.25" customHeight="1" x14ac:dyDescent="0.3">
      <c r="A22" s="1074" t="s">
        <v>1148</v>
      </c>
      <c r="B22" s="1075">
        <f>LOG(B19/B19+B20)*20</f>
        <v>1.5836249209524964</v>
      </c>
      <c r="V22">
        <f t="shared" si="3"/>
        <v>20</v>
      </c>
      <c r="W22" s="169"/>
      <c r="X22" s="586"/>
      <c r="Y22" s="587">
        <f t="shared" si="0"/>
        <v>0</v>
      </c>
      <c r="Z22" s="587">
        <f t="shared" si="1"/>
        <v>0</v>
      </c>
    </row>
    <row r="23" spans="1:26" ht="13.25" customHeight="1" x14ac:dyDescent="0.3">
      <c r="A23" s="1074"/>
      <c r="B23" s="1076"/>
      <c r="V23">
        <f t="shared" si="3"/>
        <v>21</v>
      </c>
      <c r="W23" s="169"/>
      <c r="X23" s="586"/>
      <c r="Y23" s="587">
        <f t="shared" si="0"/>
        <v>0</v>
      </c>
      <c r="Z23" s="587">
        <f t="shared" si="1"/>
        <v>0</v>
      </c>
    </row>
    <row r="24" spans="1:26" ht="13.25" customHeight="1" x14ac:dyDescent="0.3">
      <c r="V24">
        <f t="shared" si="3"/>
        <v>22</v>
      </c>
      <c r="W24" s="169"/>
      <c r="X24" s="586"/>
      <c r="Y24" s="587">
        <f t="shared" si="0"/>
        <v>0</v>
      </c>
      <c r="Z24" s="587">
        <f t="shared" si="1"/>
        <v>0</v>
      </c>
    </row>
    <row r="25" spans="1:26" ht="13.25" customHeight="1" x14ac:dyDescent="0.3">
      <c r="V25">
        <f>V24+1</f>
        <v>23</v>
      </c>
      <c r="W25" s="169"/>
      <c r="X25" s="586"/>
      <c r="Y25" s="587">
        <f t="shared" si="0"/>
        <v>0</v>
      </c>
      <c r="Z25" s="587">
        <f t="shared" si="1"/>
        <v>0</v>
      </c>
    </row>
    <row r="26" spans="1:26" ht="13.25" customHeight="1" x14ac:dyDescent="0.3">
      <c r="V26">
        <f t="shared" si="3"/>
        <v>24</v>
      </c>
      <c r="W26" s="169"/>
      <c r="X26" s="586"/>
      <c r="Y26" s="587">
        <f t="shared" si="0"/>
        <v>0</v>
      </c>
      <c r="Z26" s="587">
        <f t="shared" si="1"/>
        <v>0</v>
      </c>
    </row>
    <row r="27" spans="1:26" ht="13.25" customHeight="1" x14ac:dyDescent="0.3">
      <c r="V27">
        <f t="shared" si="3"/>
        <v>25</v>
      </c>
      <c r="W27" s="169"/>
      <c r="X27" s="586"/>
      <c r="Y27" s="587">
        <f t="shared" si="0"/>
        <v>0</v>
      </c>
      <c r="Z27" s="587">
        <f t="shared" si="1"/>
        <v>0</v>
      </c>
    </row>
    <row r="28" spans="1:26" ht="13.25" customHeight="1" x14ac:dyDescent="0.3">
      <c r="V28">
        <f t="shared" si="3"/>
        <v>26</v>
      </c>
      <c r="W28" s="169"/>
      <c r="X28" s="586"/>
      <c r="Y28" s="587">
        <f t="shared" si="0"/>
        <v>0</v>
      </c>
      <c r="Z28" s="587">
        <f t="shared" si="1"/>
        <v>0</v>
      </c>
    </row>
    <row r="29" spans="1:26" ht="13.25" customHeight="1" x14ac:dyDescent="0.3">
      <c r="V29">
        <f t="shared" si="3"/>
        <v>27</v>
      </c>
      <c r="W29" s="169"/>
      <c r="X29" s="586"/>
      <c r="Y29" s="587">
        <f t="shared" si="0"/>
        <v>0</v>
      </c>
      <c r="Z29" s="587">
        <f t="shared" si="1"/>
        <v>0</v>
      </c>
    </row>
    <row r="30" spans="1:26" ht="13.25" customHeight="1" x14ac:dyDescent="0.3">
      <c r="V30">
        <f t="shared" si="3"/>
        <v>28</v>
      </c>
      <c r="W30" s="169"/>
      <c r="X30" s="586"/>
      <c r="Y30" s="587">
        <f t="shared" si="0"/>
        <v>0</v>
      </c>
      <c r="Z30" s="587">
        <f t="shared" si="1"/>
        <v>0</v>
      </c>
    </row>
    <row r="31" spans="1:26" ht="13.25" customHeight="1" x14ac:dyDescent="0.3">
      <c r="V31">
        <f t="shared" si="3"/>
        <v>29</v>
      </c>
      <c r="W31" s="169"/>
      <c r="X31" s="586"/>
      <c r="Y31" s="587">
        <f t="shared" si="0"/>
        <v>0</v>
      </c>
      <c r="Z31" s="587">
        <f t="shared" si="1"/>
        <v>0</v>
      </c>
    </row>
    <row r="32" spans="1:26" ht="13.25" customHeight="1" x14ac:dyDescent="0.3">
      <c r="V32">
        <f t="shared" si="3"/>
        <v>30</v>
      </c>
      <c r="W32" s="169"/>
      <c r="X32" s="586"/>
      <c r="Y32" s="587">
        <f t="shared" si="0"/>
        <v>0</v>
      </c>
      <c r="Z32" s="587">
        <f t="shared" si="1"/>
        <v>0</v>
      </c>
    </row>
    <row r="33" spans="22:26" ht="13.25" customHeight="1" x14ac:dyDescent="0.3">
      <c r="V33">
        <f t="shared" si="3"/>
        <v>31</v>
      </c>
      <c r="W33" s="169"/>
      <c r="X33" s="586"/>
      <c r="Y33" s="587">
        <f t="shared" si="0"/>
        <v>0</v>
      </c>
      <c r="Z33" s="587">
        <f t="shared" si="1"/>
        <v>0</v>
      </c>
    </row>
    <row r="34" spans="22:26" ht="13.25" customHeight="1" x14ac:dyDescent="0.3">
      <c r="V34">
        <f t="shared" si="3"/>
        <v>32</v>
      </c>
      <c r="W34" s="169"/>
      <c r="X34" s="586"/>
      <c r="Y34" s="587">
        <f t="shared" si="0"/>
        <v>0</v>
      </c>
      <c r="Z34" s="587">
        <f t="shared" si="1"/>
        <v>0</v>
      </c>
    </row>
    <row r="35" spans="22:26" ht="13.25" customHeight="1" x14ac:dyDescent="0.3">
      <c r="V35">
        <f>V34+1</f>
        <v>33</v>
      </c>
      <c r="W35" s="169"/>
      <c r="X35" s="586"/>
      <c r="Y35" s="587">
        <f t="shared" si="0"/>
        <v>0</v>
      </c>
      <c r="Z35" s="587">
        <f t="shared" si="1"/>
        <v>0</v>
      </c>
    </row>
    <row r="36" spans="22:26" ht="13.25" customHeight="1" x14ac:dyDescent="0.3">
      <c r="V36">
        <f t="shared" si="3"/>
        <v>34</v>
      </c>
      <c r="W36" s="169"/>
      <c r="X36" s="586"/>
      <c r="Y36" s="587">
        <f t="shared" si="0"/>
        <v>0</v>
      </c>
      <c r="Z36" s="587">
        <f t="shared" si="1"/>
        <v>0</v>
      </c>
    </row>
    <row r="37" spans="22:26" ht="13.25" customHeight="1" x14ac:dyDescent="0.3">
      <c r="V37">
        <f t="shared" si="3"/>
        <v>35</v>
      </c>
      <c r="W37" s="169"/>
      <c r="X37" s="586"/>
      <c r="Y37" s="587">
        <f t="shared" si="0"/>
        <v>0</v>
      </c>
      <c r="Z37" s="587">
        <f t="shared" si="1"/>
        <v>0</v>
      </c>
    </row>
    <row r="38" spans="22:26" ht="13.25" customHeight="1" x14ac:dyDescent="0.3">
      <c r="V38">
        <f t="shared" si="3"/>
        <v>36</v>
      </c>
      <c r="W38" s="169"/>
      <c r="X38" s="586"/>
      <c r="Y38" s="587">
        <f t="shared" si="0"/>
        <v>0</v>
      </c>
      <c r="Z38" s="587">
        <f t="shared" si="1"/>
        <v>0</v>
      </c>
    </row>
    <row r="39" spans="22:26" ht="13.25" customHeight="1" x14ac:dyDescent="0.3">
      <c r="V39">
        <f t="shared" si="3"/>
        <v>37</v>
      </c>
      <c r="W39" s="169"/>
      <c r="X39" s="586"/>
      <c r="Y39" s="587">
        <f t="shared" si="0"/>
        <v>0</v>
      </c>
      <c r="Z39" s="587">
        <f t="shared" si="1"/>
        <v>0</v>
      </c>
    </row>
    <row r="40" spans="22:26" ht="13.25" customHeight="1" x14ac:dyDescent="0.3">
      <c r="V40">
        <f t="shared" si="3"/>
        <v>38</v>
      </c>
      <c r="W40" s="169"/>
      <c r="X40" s="586"/>
      <c r="Y40" s="587">
        <f t="shared" si="0"/>
        <v>0</v>
      </c>
      <c r="Z40" s="587">
        <f t="shared" si="1"/>
        <v>0</v>
      </c>
    </row>
    <row r="41" spans="22:26" ht="13.25" customHeight="1" x14ac:dyDescent="0.3">
      <c r="V41">
        <f t="shared" si="3"/>
        <v>39</v>
      </c>
      <c r="W41" s="169"/>
      <c r="X41" s="586"/>
      <c r="Y41" s="587">
        <f t="shared" si="0"/>
        <v>0</v>
      </c>
      <c r="Z41" s="587">
        <f t="shared" si="1"/>
        <v>0</v>
      </c>
    </row>
    <row r="42" spans="22:26" ht="13.25" customHeight="1" x14ac:dyDescent="0.3">
      <c r="V42">
        <f t="shared" si="3"/>
        <v>40</v>
      </c>
      <c r="W42" s="169"/>
      <c r="X42" s="586"/>
      <c r="Y42" s="587">
        <f t="shared" si="0"/>
        <v>0</v>
      </c>
      <c r="Z42" s="587">
        <f t="shared" si="1"/>
        <v>0</v>
      </c>
    </row>
    <row r="43" spans="22:26" ht="13.25" customHeight="1" x14ac:dyDescent="0.3">
      <c r="V43">
        <f t="shared" si="3"/>
        <v>41</v>
      </c>
      <c r="W43" s="169"/>
      <c r="X43" s="586"/>
      <c r="Y43" s="587">
        <f t="shared" si="0"/>
        <v>0</v>
      </c>
      <c r="Z43" s="587">
        <f t="shared" si="1"/>
        <v>0</v>
      </c>
    </row>
    <row r="44" spans="22:26" ht="13" x14ac:dyDescent="0.3">
      <c r="V44">
        <f t="shared" si="3"/>
        <v>42</v>
      </c>
      <c r="W44" s="169"/>
      <c r="X44" s="586"/>
      <c r="Y44" s="587">
        <f t="shared" si="0"/>
        <v>0</v>
      </c>
      <c r="Z44" s="587">
        <f t="shared" si="1"/>
        <v>0</v>
      </c>
    </row>
    <row r="45" spans="22:26" ht="13" x14ac:dyDescent="0.3">
      <c r="V45">
        <f t="shared" si="3"/>
        <v>43</v>
      </c>
      <c r="W45" s="169"/>
      <c r="X45" s="586"/>
      <c r="Y45" s="587">
        <f t="shared" si="0"/>
        <v>0</v>
      </c>
      <c r="Z45" s="587">
        <f t="shared" si="1"/>
        <v>0</v>
      </c>
    </row>
    <row r="46" spans="22:26" ht="13" x14ac:dyDescent="0.3">
      <c r="V46">
        <f t="shared" si="3"/>
        <v>44</v>
      </c>
      <c r="W46" s="169"/>
      <c r="X46" s="586"/>
      <c r="Y46" s="587">
        <f t="shared" si="0"/>
        <v>0</v>
      </c>
      <c r="Z46" s="587">
        <f t="shared" si="1"/>
        <v>0</v>
      </c>
    </row>
    <row r="47" spans="22:26" ht="13" x14ac:dyDescent="0.3">
      <c r="V47">
        <f t="shared" si="3"/>
        <v>45</v>
      </c>
      <c r="W47" s="169"/>
      <c r="X47" s="586"/>
      <c r="Y47" s="587">
        <f t="shared" si="0"/>
        <v>0</v>
      </c>
      <c r="Z47" s="587">
        <f t="shared" si="1"/>
        <v>0</v>
      </c>
    </row>
    <row r="48" spans="22:26" ht="13" x14ac:dyDescent="0.3">
      <c r="V48">
        <f t="shared" si="3"/>
        <v>46</v>
      </c>
      <c r="W48" s="169"/>
      <c r="X48" s="586"/>
      <c r="Y48" s="587">
        <f t="shared" si="0"/>
        <v>0</v>
      </c>
      <c r="Z48" s="587">
        <f t="shared" si="1"/>
        <v>0</v>
      </c>
    </row>
    <row r="49" spans="22:26" ht="13" x14ac:dyDescent="0.3">
      <c r="V49">
        <f t="shared" si="3"/>
        <v>47</v>
      </c>
      <c r="W49" s="169"/>
      <c r="X49" s="586"/>
      <c r="Y49" s="587">
        <f t="shared" si="0"/>
        <v>0</v>
      </c>
      <c r="Z49" s="587">
        <f t="shared" si="1"/>
        <v>0</v>
      </c>
    </row>
    <row r="50" spans="22:26" ht="13" x14ac:dyDescent="0.3">
      <c r="V50">
        <f t="shared" si="3"/>
        <v>48</v>
      </c>
      <c r="W50" s="169"/>
      <c r="X50" s="586"/>
      <c r="Y50" s="587">
        <f t="shared" si="0"/>
        <v>0</v>
      </c>
      <c r="Z50" s="587">
        <f t="shared" si="1"/>
        <v>0</v>
      </c>
    </row>
    <row r="51" spans="22:26" ht="13" x14ac:dyDescent="0.3">
      <c r="V51">
        <f t="shared" si="3"/>
        <v>49</v>
      </c>
      <c r="W51" s="169"/>
      <c r="X51" s="586"/>
      <c r="Y51" s="587">
        <f t="shared" si="0"/>
        <v>0</v>
      </c>
      <c r="Z51" s="587">
        <f t="shared" si="1"/>
        <v>0</v>
      </c>
    </row>
    <row r="52" spans="22:26" ht="13" x14ac:dyDescent="0.3">
      <c r="V52">
        <f t="shared" si="3"/>
        <v>50</v>
      </c>
      <c r="W52" s="169"/>
      <c r="X52" s="586"/>
      <c r="Y52" s="587">
        <f t="shared" si="0"/>
        <v>0</v>
      </c>
      <c r="Z52" s="587">
        <f t="shared" si="1"/>
        <v>0</v>
      </c>
    </row>
    <row r="53" spans="22:26" ht="13" x14ac:dyDescent="0.3">
      <c r="V53">
        <f t="shared" si="3"/>
        <v>51</v>
      </c>
      <c r="W53" s="169"/>
      <c r="X53" s="586"/>
      <c r="Y53" s="587">
        <f t="shared" si="0"/>
        <v>0</v>
      </c>
      <c r="Z53" s="587">
        <f t="shared" si="1"/>
        <v>0</v>
      </c>
    </row>
    <row r="54" spans="22:26" ht="13" x14ac:dyDescent="0.3">
      <c r="V54">
        <f t="shared" si="3"/>
        <v>52</v>
      </c>
      <c r="W54" s="169"/>
      <c r="X54" s="586"/>
      <c r="Y54" s="587">
        <f t="shared" si="0"/>
        <v>0</v>
      </c>
      <c r="Z54" s="587">
        <f t="shared" si="1"/>
        <v>0</v>
      </c>
    </row>
    <row r="55" spans="22:26" ht="13" x14ac:dyDescent="0.3">
      <c r="V55">
        <f t="shared" si="3"/>
        <v>53</v>
      </c>
      <c r="W55" s="169"/>
      <c r="X55" s="586"/>
      <c r="Y55" s="587">
        <f t="shared" si="0"/>
        <v>0</v>
      </c>
      <c r="Z55" s="587">
        <f t="shared" si="1"/>
        <v>0</v>
      </c>
    </row>
    <row r="56" spans="22:26" ht="13" x14ac:dyDescent="0.3">
      <c r="V56">
        <f t="shared" si="3"/>
        <v>54</v>
      </c>
      <c r="W56" s="169"/>
      <c r="X56" s="586"/>
      <c r="Y56" s="587">
        <f t="shared" si="0"/>
        <v>0</v>
      </c>
      <c r="Z56" s="587">
        <f t="shared" si="1"/>
        <v>0</v>
      </c>
    </row>
    <row r="57" spans="22:26" ht="13" x14ac:dyDescent="0.3">
      <c r="V57">
        <f t="shared" si="3"/>
        <v>55</v>
      </c>
      <c r="W57" s="169"/>
      <c r="X57" s="586"/>
      <c r="Y57" s="587">
        <f t="shared" si="0"/>
        <v>0</v>
      </c>
      <c r="Z57" s="587">
        <f t="shared" si="1"/>
        <v>0</v>
      </c>
    </row>
    <row r="58" spans="22:26" ht="13" x14ac:dyDescent="0.3">
      <c r="V58">
        <f t="shared" si="3"/>
        <v>56</v>
      </c>
      <c r="W58" s="169"/>
      <c r="X58" s="586"/>
      <c r="Y58" s="587">
        <f t="shared" si="0"/>
        <v>0</v>
      </c>
      <c r="Z58" s="587">
        <f t="shared" si="1"/>
        <v>0</v>
      </c>
    </row>
    <row r="59" spans="22:26" ht="13" x14ac:dyDescent="0.3">
      <c r="V59">
        <f t="shared" si="3"/>
        <v>57</v>
      </c>
      <c r="W59" s="169"/>
      <c r="X59" s="586"/>
      <c r="Y59" s="587">
        <f t="shared" si="0"/>
        <v>0</v>
      </c>
      <c r="Z59" s="587">
        <f t="shared" si="1"/>
        <v>0</v>
      </c>
    </row>
    <row r="60" spans="22:26" ht="13" x14ac:dyDescent="0.3">
      <c r="V60">
        <f t="shared" si="3"/>
        <v>58</v>
      </c>
      <c r="W60" s="169"/>
      <c r="X60" s="586"/>
      <c r="Y60" s="587">
        <f t="shared" si="0"/>
        <v>0</v>
      </c>
      <c r="Z60" s="587">
        <f t="shared" si="1"/>
        <v>0</v>
      </c>
    </row>
    <row r="61" spans="22:26" ht="13" x14ac:dyDescent="0.3">
      <c r="V61">
        <f t="shared" si="3"/>
        <v>59</v>
      </c>
      <c r="W61" s="169"/>
      <c r="X61" s="586"/>
      <c r="Y61" s="587">
        <f t="shared" si="0"/>
        <v>0</v>
      </c>
      <c r="Z61" s="587">
        <f t="shared" si="1"/>
        <v>0</v>
      </c>
    </row>
    <row r="62" spans="22:26" ht="13" x14ac:dyDescent="0.3">
      <c r="V62">
        <f t="shared" si="3"/>
        <v>60</v>
      </c>
      <c r="W62" s="169"/>
      <c r="X62" s="586"/>
      <c r="Y62" s="587">
        <f t="shared" si="0"/>
        <v>0</v>
      </c>
      <c r="Z62" s="587">
        <f t="shared" si="1"/>
        <v>0</v>
      </c>
    </row>
    <row r="63" spans="22:26" ht="13" x14ac:dyDescent="0.3">
      <c r="V63">
        <f t="shared" si="3"/>
        <v>61</v>
      </c>
      <c r="W63" s="169"/>
      <c r="X63" s="586"/>
      <c r="Y63" s="587">
        <f t="shared" si="0"/>
        <v>0</v>
      </c>
      <c r="Z63" s="587">
        <f t="shared" si="1"/>
        <v>0</v>
      </c>
    </row>
    <row r="64" spans="22:26" ht="18.5" x14ac:dyDescent="0.45">
      <c r="W64" s="598" t="s">
        <v>1067</v>
      </c>
      <c r="X64" s="599">
        <f>SUM(X3:X63)</f>
        <v>60</v>
      </c>
      <c r="Y64" s="600">
        <f>SUM(Y3:Y63)</f>
        <v>0.5</v>
      </c>
      <c r="Z64" s="600">
        <f>SUM(Z3:Z63)</f>
        <v>0.25</v>
      </c>
    </row>
    <row r="74" spans="2:10" x14ac:dyDescent="0.25">
      <c r="B74" s="1056" t="s">
        <v>848</v>
      </c>
      <c r="C74" s="1056"/>
      <c r="D74" s="1056"/>
      <c r="E74" s="1056"/>
      <c r="F74" s="1056"/>
      <c r="G74" s="1056"/>
      <c r="H74" s="1056"/>
      <c r="I74" s="1056"/>
    </row>
    <row r="75" spans="2:10" x14ac:dyDescent="0.25">
      <c r="B75" s="1056"/>
      <c r="C75" s="1056"/>
      <c r="D75" s="1056"/>
      <c r="E75" s="1056"/>
      <c r="F75" s="1056"/>
      <c r="G75" s="1056"/>
      <c r="H75" s="1056"/>
      <c r="I75" s="1056"/>
      <c r="J75" s="602"/>
    </row>
    <row r="76" spans="2:10" ht="13" thickBot="1" x14ac:dyDescent="0.3"/>
    <row r="77" spans="2:10" ht="23.5" thickBot="1" x14ac:dyDescent="0.3">
      <c r="B77" s="497" t="s">
        <v>849</v>
      </c>
      <c r="C77" s="1063" t="s">
        <v>850</v>
      </c>
      <c r="D77" s="1064"/>
      <c r="E77" s="1063" t="s">
        <v>851</v>
      </c>
      <c r="F77" s="1064"/>
      <c r="G77" s="1063" t="s">
        <v>852</v>
      </c>
      <c r="H77" s="1064"/>
      <c r="I77" s="1063" t="s">
        <v>853</v>
      </c>
      <c r="J77" s="1064"/>
    </row>
    <row r="78" spans="2:10" ht="51.75" customHeight="1" thickBot="1" x14ac:dyDescent="0.3">
      <c r="B78" s="497" t="s">
        <v>854</v>
      </c>
      <c r="C78" s="1063" t="s">
        <v>855</v>
      </c>
      <c r="D78" s="1064"/>
      <c r="E78" s="1063" t="s">
        <v>856</v>
      </c>
      <c r="F78" s="1064"/>
      <c r="G78" s="1063" t="s">
        <v>857</v>
      </c>
      <c r="H78" s="1064"/>
      <c r="I78" s="1063" t="s">
        <v>858</v>
      </c>
      <c r="J78" s="1064"/>
    </row>
    <row r="79" spans="2:10" ht="23.5" thickBot="1" x14ac:dyDescent="0.3">
      <c r="B79" s="497" t="s">
        <v>859</v>
      </c>
      <c r="C79" s="497">
        <v>2</v>
      </c>
      <c r="D79" s="497">
        <v>3</v>
      </c>
      <c r="E79" s="497">
        <v>2</v>
      </c>
      <c r="F79" s="497">
        <v>3</v>
      </c>
      <c r="G79" s="497">
        <v>2</v>
      </c>
      <c r="H79" s="497">
        <v>3</v>
      </c>
      <c r="I79" s="497">
        <v>2</v>
      </c>
      <c r="J79" s="497">
        <v>3</v>
      </c>
    </row>
    <row r="80" spans="2:10" ht="23" x14ac:dyDescent="0.25">
      <c r="B80" s="498" t="s">
        <v>860</v>
      </c>
      <c r="C80" s="1057" t="s">
        <v>862</v>
      </c>
      <c r="D80" s="1058"/>
      <c r="E80" s="1058"/>
      <c r="F80" s="1058"/>
      <c r="G80" s="1058"/>
      <c r="H80" s="1058"/>
      <c r="I80" s="1058"/>
      <c r="J80" s="1059"/>
    </row>
    <row r="81" spans="2:10" ht="14" thickBot="1" x14ac:dyDescent="0.3">
      <c r="B81" s="499" t="s">
        <v>861</v>
      </c>
      <c r="C81" s="1060" t="s">
        <v>863</v>
      </c>
      <c r="D81" s="1061"/>
      <c r="E81" s="1061"/>
      <c r="F81" s="1061"/>
      <c r="G81" s="1061"/>
      <c r="H81" s="1061"/>
      <c r="I81" s="1061"/>
      <c r="J81" s="1062"/>
    </row>
    <row r="82" spans="2:10" ht="13" thickBot="1" x14ac:dyDescent="0.3">
      <c r="B82" s="501">
        <v>1.5</v>
      </c>
      <c r="C82" s="500">
        <v>15.5</v>
      </c>
      <c r="D82" s="500">
        <v>13.5</v>
      </c>
      <c r="E82" s="500">
        <v>15.5</v>
      </c>
      <c r="F82" s="500">
        <v>13</v>
      </c>
      <c r="G82" s="500">
        <v>17.5</v>
      </c>
      <c r="H82" s="500">
        <v>15.5</v>
      </c>
      <c r="I82" s="500">
        <v>16.5</v>
      </c>
      <c r="J82" s="502">
        <v>15</v>
      </c>
    </row>
    <row r="83" spans="2:10" ht="13" thickBot="1" x14ac:dyDescent="0.3">
      <c r="B83" s="501">
        <v>2.5</v>
      </c>
      <c r="C83" s="500">
        <v>19.5</v>
      </c>
      <c r="D83" s="500">
        <v>18</v>
      </c>
      <c r="E83" s="500">
        <v>18.5</v>
      </c>
      <c r="F83" s="500">
        <v>17.5</v>
      </c>
      <c r="G83" s="500">
        <v>24</v>
      </c>
      <c r="H83" s="500">
        <v>21</v>
      </c>
      <c r="I83" s="500">
        <v>23</v>
      </c>
      <c r="J83" s="502">
        <v>20</v>
      </c>
    </row>
    <row r="84" spans="2:10" ht="13" thickBot="1" x14ac:dyDescent="0.3">
      <c r="B84" s="501">
        <v>4</v>
      </c>
      <c r="C84" s="500">
        <v>26</v>
      </c>
      <c r="D84" s="500">
        <v>24</v>
      </c>
      <c r="E84" s="500">
        <v>25</v>
      </c>
      <c r="F84" s="500">
        <v>23</v>
      </c>
      <c r="G84" s="500">
        <v>32</v>
      </c>
      <c r="H84" s="500">
        <v>28</v>
      </c>
      <c r="I84" s="500">
        <v>30</v>
      </c>
      <c r="J84" s="502">
        <v>27</v>
      </c>
    </row>
    <row r="85" spans="2:10" ht="13" thickBot="1" x14ac:dyDescent="0.3">
      <c r="B85" s="501">
        <v>6</v>
      </c>
      <c r="C85" s="500">
        <v>34</v>
      </c>
      <c r="D85" s="500">
        <v>31</v>
      </c>
      <c r="E85" s="500">
        <v>32</v>
      </c>
      <c r="F85" s="500">
        <v>29</v>
      </c>
      <c r="G85" s="500">
        <v>41</v>
      </c>
      <c r="H85" s="500">
        <v>36</v>
      </c>
      <c r="I85" s="500">
        <v>38</v>
      </c>
      <c r="J85" s="502">
        <v>34</v>
      </c>
    </row>
    <row r="86" spans="2:10" ht="13" thickBot="1" x14ac:dyDescent="0.3">
      <c r="B86" s="501">
        <v>10</v>
      </c>
      <c r="C86" s="500">
        <v>46</v>
      </c>
      <c r="D86" s="500">
        <v>42</v>
      </c>
      <c r="E86" s="500">
        <v>43</v>
      </c>
      <c r="F86" s="500">
        <v>39</v>
      </c>
      <c r="G86" s="500">
        <v>57</v>
      </c>
      <c r="H86" s="500">
        <v>50</v>
      </c>
      <c r="I86" s="500">
        <v>52</v>
      </c>
      <c r="J86" s="502">
        <v>46</v>
      </c>
    </row>
    <row r="87" spans="2:10" ht="13" thickBot="1" x14ac:dyDescent="0.3">
      <c r="B87" s="501">
        <v>16</v>
      </c>
      <c r="C87" s="500">
        <v>61</v>
      </c>
      <c r="D87" s="500">
        <v>56</v>
      </c>
      <c r="E87" s="500">
        <v>57</v>
      </c>
      <c r="F87" s="500">
        <v>52</v>
      </c>
      <c r="G87" s="500">
        <v>76</v>
      </c>
      <c r="H87" s="500">
        <v>68</v>
      </c>
      <c r="I87" s="500">
        <v>69</v>
      </c>
      <c r="J87" s="502">
        <v>62</v>
      </c>
    </row>
    <row r="88" spans="2:10" ht="13" thickBot="1" x14ac:dyDescent="0.3">
      <c r="B88" s="501">
        <v>25</v>
      </c>
      <c r="C88" s="500">
        <v>80</v>
      </c>
      <c r="D88" s="500">
        <v>73</v>
      </c>
      <c r="E88" s="500">
        <v>75</v>
      </c>
      <c r="F88" s="500">
        <v>68</v>
      </c>
      <c r="G88" s="500">
        <v>101</v>
      </c>
      <c r="H88" s="500">
        <v>89</v>
      </c>
      <c r="I88" s="500">
        <v>90</v>
      </c>
      <c r="J88" s="502">
        <v>80</v>
      </c>
    </row>
    <row r="89" spans="2:10" ht="13" thickBot="1" x14ac:dyDescent="0.3">
      <c r="B89" s="501">
        <v>35</v>
      </c>
      <c r="C89" s="500">
        <v>99</v>
      </c>
      <c r="D89" s="500">
        <v>89</v>
      </c>
      <c r="E89" s="500">
        <v>92</v>
      </c>
      <c r="F89" s="500">
        <v>83</v>
      </c>
      <c r="G89" s="500">
        <v>125</v>
      </c>
      <c r="H89" s="500">
        <v>110</v>
      </c>
      <c r="I89" s="500">
        <v>111</v>
      </c>
      <c r="J89" s="502">
        <v>99</v>
      </c>
    </row>
    <row r="90" spans="2:10" ht="13" thickBot="1" x14ac:dyDescent="0.3">
      <c r="B90" s="501">
        <v>50</v>
      </c>
      <c r="C90" s="500">
        <v>119</v>
      </c>
      <c r="D90" s="500">
        <v>108</v>
      </c>
      <c r="E90" s="500">
        <v>110</v>
      </c>
      <c r="F90" s="500">
        <v>99</v>
      </c>
      <c r="G90" s="500">
        <v>151</v>
      </c>
      <c r="H90" s="500">
        <v>134</v>
      </c>
      <c r="I90" s="500">
        <v>133</v>
      </c>
      <c r="J90" s="502">
        <v>118</v>
      </c>
    </row>
    <row r="91" spans="2:10" ht="13" thickBot="1" x14ac:dyDescent="0.3">
      <c r="B91" s="501">
        <v>70</v>
      </c>
      <c r="C91" s="500">
        <v>151</v>
      </c>
      <c r="D91" s="500">
        <v>136</v>
      </c>
      <c r="E91" s="500">
        <v>139</v>
      </c>
      <c r="F91" s="500">
        <v>125</v>
      </c>
      <c r="G91" s="500">
        <v>192</v>
      </c>
      <c r="H91" s="500">
        <v>171</v>
      </c>
      <c r="I91" s="500">
        <v>168</v>
      </c>
      <c r="J91" s="502">
        <v>149</v>
      </c>
    </row>
    <row r="92" spans="2:10" ht="13" thickBot="1" x14ac:dyDescent="0.3">
      <c r="B92" s="501">
        <v>95</v>
      </c>
      <c r="C92" s="500">
        <v>182</v>
      </c>
      <c r="D92" s="500">
        <v>164</v>
      </c>
      <c r="E92" s="500">
        <v>167</v>
      </c>
      <c r="F92" s="500">
        <v>150</v>
      </c>
      <c r="G92" s="500">
        <v>232</v>
      </c>
      <c r="H92" s="500">
        <v>207</v>
      </c>
      <c r="I92" s="500">
        <v>201</v>
      </c>
      <c r="J92" s="502">
        <v>179</v>
      </c>
    </row>
    <row r="93" spans="2:10" ht="13" thickBot="1" x14ac:dyDescent="0.3">
      <c r="B93" s="501">
        <v>120</v>
      </c>
      <c r="C93" s="500">
        <v>210</v>
      </c>
      <c r="D93" s="500">
        <v>188</v>
      </c>
      <c r="E93" s="500">
        <v>192</v>
      </c>
      <c r="F93" s="500">
        <v>172</v>
      </c>
      <c r="G93" s="500">
        <v>269</v>
      </c>
      <c r="H93" s="500">
        <v>239</v>
      </c>
      <c r="I93" s="500">
        <v>232</v>
      </c>
      <c r="J93" s="502">
        <v>206</v>
      </c>
    </row>
    <row r="94" spans="2:10" ht="13" thickBot="1" x14ac:dyDescent="0.3">
      <c r="B94" s="501">
        <v>150</v>
      </c>
      <c r="C94" s="500">
        <v>240</v>
      </c>
      <c r="D94" s="500">
        <v>216</v>
      </c>
      <c r="E94" s="500">
        <v>219</v>
      </c>
      <c r="F94" s="500">
        <v>196</v>
      </c>
      <c r="G94" s="500"/>
      <c r="H94" s="500"/>
      <c r="I94" s="500"/>
      <c r="J94" s="502"/>
    </row>
    <row r="95" spans="2:10" ht="13" thickBot="1" x14ac:dyDescent="0.3">
      <c r="B95" s="501">
        <v>185</v>
      </c>
      <c r="C95" s="500">
        <v>273</v>
      </c>
      <c r="D95" s="500">
        <v>245</v>
      </c>
      <c r="E95" s="500">
        <v>248</v>
      </c>
      <c r="F95" s="500">
        <v>223</v>
      </c>
      <c r="G95" s="500"/>
      <c r="H95" s="500"/>
      <c r="I95" s="500"/>
      <c r="J95" s="502"/>
    </row>
    <row r="96" spans="2:10" ht="13" thickBot="1" x14ac:dyDescent="0.3">
      <c r="B96" s="501">
        <v>240</v>
      </c>
      <c r="C96" s="500">
        <v>320</v>
      </c>
      <c r="D96" s="500">
        <v>286</v>
      </c>
      <c r="E96" s="500">
        <v>291</v>
      </c>
      <c r="F96" s="500">
        <v>261</v>
      </c>
      <c r="G96" s="500"/>
      <c r="H96" s="500"/>
      <c r="I96" s="500"/>
      <c r="J96" s="502"/>
    </row>
    <row r="97" spans="1:18" ht="13" thickBot="1" x14ac:dyDescent="0.3">
      <c r="B97" s="503">
        <v>300</v>
      </c>
      <c r="C97" s="504">
        <v>367</v>
      </c>
      <c r="D97" s="504">
        <v>328</v>
      </c>
      <c r="E97" s="504">
        <v>334</v>
      </c>
      <c r="F97" s="504">
        <v>298</v>
      </c>
      <c r="G97" s="504"/>
      <c r="H97" s="504"/>
      <c r="I97" s="504"/>
      <c r="J97" s="505"/>
    </row>
    <row r="101" spans="1:18" ht="23.5" x14ac:dyDescent="0.55000000000000004">
      <c r="A101" s="588" t="s">
        <v>1045</v>
      </c>
      <c r="E101" s="1055" t="s">
        <v>1046</v>
      </c>
      <c r="F101" s="1055"/>
      <c r="G101" s="1055"/>
      <c r="H101" s="1055"/>
      <c r="I101" s="1055"/>
      <c r="J101" s="1055"/>
      <c r="K101" s="1055"/>
      <c r="L101" s="1055"/>
      <c r="M101" s="1055"/>
      <c r="N101" s="1055"/>
      <c r="O101" s="1055"/>
      <c r="P101" s="1055"/>
      <c r="Q101" s="1055"/>
      <c r="R101" s="589"/>
    </row>
    <row r="102" spans="1:18" ht="14" x14ac:dyDescent="0.3">
      <c r="F102" s="590"/>
    </row>
    <row r="103" spans="1:18" ht="42" x14ac:dyDescent="0.35">
      <c r="A103" s="591" t="s">
        <v>1047</v>
      </c>
      <c r="B103" s="591" t="s">
        <v>1048</v>
      </c>
      <c r="C103" s="591" t="s">
        <v>1048</v>
      </c>
      <c r="D103" s="591" t="s">
        <v>1049</v>
      </c>
      <c r="F103" s="592" t="s">
        <v>1050</v>
      </c>
      <c r="G103" s="592" t="s">
        <v>1051</v>
      </c>
      <c r="H103" s="592" t="s">
        <v>1052</v>
      </c>
      <c r="I103" s="593" t="s">
        <v>1053</v>
      </c>
      <c r="L103" s="752" t="s">
        <v>1528</v>
      </c>
      <c r="M103" s="752" t="s">
        <v>1529</v>
      </c>
      <c r="N103" s="752" t="s">
        <v>1530</v>
      </c>
    </row>
    <row r="104" spans="1:18" ht="16.5" x14ac:dyDescent="0.35">
      <c r="A104" s="594" t="s">
        <v>1054</v>
      </c>
      <c r="B104" s="594" t="s">
        <v>806</v>
      </c>
      <c r="C104" s="594" t="s">
        <v>1055</v>
      </c>
      <c r="D104" s="595" t="s">
        <v>1056</v>
      </c>
      <c r="F104" s="596"/>
      <c r="G104" s="596"/>
      <c r="H104" s="596"/>
      <c r="I104" s="596"/>
      <c r="L104" s="753">
        <v>0</v>
      </c>
      <c r="M104" s="754">
        <v>0.57999999999999996</v>
      </c>
      <c r="N104" s="754">
        <v>14.73</v>
      </c>
    </row>
    <row r="105" spans="1:18" ht="14" x14ac:dyDescent="0.25">
      <c r="A105" s="597">
        <v>0</v>
      </c>
      <c r="B105" s="597">
        <v>0.46</v>
      </c>
      <c r="C105" s="597">
        <v>11.68</v>
      </c>
      <c r="D105" s="597">
        <v>107.16</v>
      </c>
      <c r="F105" s="596">
        <v>3.2000000000000001E-2</v>
      </c>
      <c r="G105" s="596"/>
      <c r="H105" s="596">
        <v>32</v>
      </c>
      <c r="I105" s="596">
        <v>0.2</v>
      </c>
      <c r="L105" s="755">
        <v>0</v>
      </c>
      <c r="M105" s="756">
        <v>0.51649999999999996</v>
      </c>
      <c r="N105" s="756">
        <v>13.12</v>
      </c>
    </row>
    <row r="106" spans="1:18" ht="14" x14ac:dyDescent="0.25">
      <c r="A106" s="597">
        <v>0</v>
      </c>
      <c r="B106" s="597">
        <v>0.40960000000000002</v>
      </c>
      <c r="C106" s="597">
        <v>10.4</v>
      </c>
      <c r="D106" s="597">
        <v>84.97</v>
      </c>
      <c r="F106" s="596">
        <v>0.04</v>
      </c>
      <c r="G106" s="596"/>
      <c r="H106" s="596">
        <v>31</v>
      </c>
      <c r="I106" s="596">
        <v>0.23</v>
      </c>
      <c r="L106" s="753">
        <v>0</v>
      </c>
      <c r="M106" s="754">
        <v>0.46</v>
      </c>
      <c r="N106" s="754">
        <v>11.68</v>
      </c>
    </row>
    <row r="107" spans="1:18" ht="14" x14ac:dyDescent="0.25">
      <c r="A107" s="597">
        <v>0</v>
      </c>
      <c r="B107" s="597">
        <v>0.36480000000000001</v>
      </c>
      <c r="C107" s="597">
        <v>9.27</v>
      </c>
      <c r="D107" s="597">
        <v>67.400000000000006</v>
      </c>
      <c r="F107" s="596">
        <v>0.05</v>
      </c>
      <c r="G107" s="596" t="s">
        <v>1057</v>
      </c>
      <c r="H107" s="596">
        <v>30</v>
      </c>
      <c r="I107" s="596">
        <v>0.25</v>
      </c>
      <c r="L107" s="755">
        <v>0</v>
      </c>
      <c r="M107" s="756">
        <v>0.40960000000000002</v>
      </c>
      <c r="N107" s="756">
        <v>10.4</v>
      </c>
    </row>
    <row r="108" spans="1:18" ht="14" x14ac:dyDescent="0.25">
      <c r="A108" s="597">
        <v>0</v>
      </c>
      <c r="B108" s="597">
        <v>0.32490000000000002</v>
      </c>
      <c r="C108" s="597">
        <v>8.25</v>
      </c>
      <c r="D108" s="597">
        <v>53.46</v>
      </c>
      <c r="F108" s="596">
        <v>7.4999999999999997E-2</v>
      </c>
      <c r="G108" s="596" t="s">
        <v>1058</v>
      </c>
      <c r="H108" s="596"/>
      <c r="I108" s="596">
        <v>0.27</v>
      </c>
      <c r="L108" s="753">
        <v>0</v>
      </c>
      <c r="M108" s="754">
        <v>0.36480000000000001</v>
      </c>
      <c r="N108" s="754">
        <v>9.266</v>
      </c>
    </row>
    <row r="109" spans="1:18" ht="14" x14ac:dyDescent="0.25">
      <c r="A109" s="597">
        <v>1</v>
      </c>
      <c r="B109" s="597">
        <v>0.2893</v>
      </c>
      <c r="C109" s="597">
        <v>7.35</v>
      </c>
      <c r="D109" s="597">
        <v>42.39</v>
      </c>
      <c r="F109" s="596">
        <v>6.5000000000000002E-2</v>
      </c>
      <c r="G109" s="596"/>
      <c r="H109" s="596">
        <v>29</v>
      </c>
      <c r="I109" s="596">
        <v>0.28999999999999998</v>
      </c>
      <c r="L109" s="755">
        <v>0</v>
      </c>
      <c r="M109" s="756">
        <v>0.32490000000000002</v>
      </c>
      <c r="N109" s="756">
        <v>8.2509999999999994</v>
      </c>
    </row>
    <row r="110" spans="1:18" ht="14" x14ac:dyDescent="0.25">
      <c r="A110" s="597">
        <v>2</v>
      </c>
      <c r="B110" s="597">
        <v>0.2576</v>
      </c>
      <c r="C110" s="597">
        <v>6.54</v>
      </c>
      <c r="D110" s="597">
        <v>33.61</v>
      </c>
      <c r="F110" s="596">
        <v>7.2999999999999995E-2</v>
      </c>
      <c r="G110" s="596" t="s">
        <v>1059</v>
      </c>
      <c r="H110" s="596"/>
      <c r="I110" s="596">
        <v>0.3</v>
      </c>
      <c r="L110" s="753">
        <v>1</v>
      </c>
      <c r="M110" s="754">
        <v>0.2893</v>
      </c>
      <c r="N110" s="754">
        <v>7.3479999999999999</v>
      </c>
    </row>
    <row r="111" spans="1:18" ht="14" x14ac:dyDescent="0.25">
      <c r="A111" s="597">
        <v>3</v>
      </c>
      <c r="B111" s="597">
        <v>0.22939999999999999</v>
      </c>
      <c r="C111" s="597">
        <v>5.83</v>
      </c>
      <c r="D111" s="597">
        <v>26.65</v>
      </c>
      <c r="F111" s="596">
        <v>7.8E-2</v>
      </c>
      <c r="G111" s="596" t="s">
        <v>1060</v>
      </c>
      <c r="H111" s="596"/>
      <c r="I111" s="596">
        <v>0.31</v>
      </c>
      <c r="L111" s="755">
        <v>2</v>
      </c>
      <c r="M111" s="756">
        <v>0.2576</v>
      </c>
      <c r="N111" s="756">
        <v>6.5439999999999996</v>
      </c>
    </row>
    <row r="112" spans="1:18" ht="14" x14ac:dyDescent="0.25">
      <c r="A112" s="597">
        <v>4</v>
      </c>
      <c r="B112" s="597">
        <v>0.20430000000000001</v>
      </c>
      <c r="C112" s="597">
        <v>5.19</v>
      </c>
      <c r="D112" s="597">
        <v>21.14</v>
      </c>
      <c r="F112" s="596">
        <v>8.1000000000000003E-2</v>
      </c>
      <c r="G112" s="596" t="s">
        <v>1061</v>
      </c>
      <c r="H112" s="596">
        <v>28</v>
      </c>
      <c r="I112" s="596">
        <v>0.32</v>
      </c>
      <c r="L112" s="753">
        <v>3</v>
      </c>
      <c r="M112" s="754">
        <v>0.22939999999999999</v>
      </c>
      <c r="N112" s="754">
        <v>5.827</v>
      </c>
    </row>
    <row r="113" spans="1:14" ht="14" x14ac:dyDescent="0.25">
      <c r="A113" s="597">
        <v>5</v>
      </c>
      <c r="B113" s="597">
        <v>0.18190000000000001</v>
      </c>
      <c r="C113" s="597">
        <v>4.62</v>
      </c>
      <c r="D113" s="597">
        <v>16.760000000000002</v>
      </c>
      <c r="F113" s="596">
        <v>8.5999999999999993E-2</v>
      </c>
      <c r="G113" s="596" t="s">
        <v>1062</v>
      </c>
      <c r="H113" s="596"/>
      <c r="I113" s="596">
        <v>0.33</v>
      </c>
      <c r="L113" s="755">
        <v>4</v>
      </c>
      <c r="M113" s="756">
        <v>0.20430000000000001</v>
      </c>
      <c r="N113" s="756">
        <v>5.1890000000000001</v>
      </c>
    </row>
    <row r="114" spans="1:14" ht="14" x14ac:dyDescent="0.25">
      <c r="A114" s="597">
        <v>6</v>
      </c>
      <c r="B114" s="597">
        <v>0.16200000000000001</v>
      </c>
      <c r="C114" s="597">
        <v>4.1100000000000003</v>
      </c>
      <c r="D114" s="597">
        <v>13.29</v>
      </c>
      <c r="F114" s="596">
        <v>9.4E-2</v>
      </c>
      <c r="G114" s="596" t="s">
        <v>1063</v>
      </c>
      <c r="H114" s="596"/>
      <c r="I114" s="596">
        <v>0.35</v>
      </c>
      <c r="L114" s="753">
        <v>5</v>
      </c>
      <c r="M114" s="754">
        <v>0.18190000000000001</v>
      </c>
      <c r="N114" s="754">
        <v>4.6210000000000004</v>
      </c>
    </row>
    <row r="115" spans="1:14" ht="14" x14ac:dyDescent="0.25">
      <c r="A115" s="597">
        <v>7</v>
      </c>
      <c r="B115" s="597">
        <v>0.14430000000000001</v>
      </c>
      <c r="C115" s="597">
        <v>3.67</v>
      </c>
      <c r="D115" s="597">
        <v>10.55</v>
      </c>
      <c r="F115" s="596">
        <v>0.10299999999999999</v>
      </c>
      <c r="G115" s="596"/>
      <c r="H115" s="596">
        <v>27</v>
      </c>
      <c r="I115" s="596">
        <v>0.36</v>
      </c>
      <c r="L115" s="755">
        <v>6</v>
      </c>
      <c r="M115" s="756">
        <v>0.16200000000000001</v>
      </c>
      <c r="N115" s="756">
        <v>4.1150000000000002</v>
      </c>
    </row>
    <row r="116" spans="1:14" ht="14" x14ac:dyDescent="0.25">
      <c r="A116" s="597">
        <v>8</v>
      </c>
      <c r="B116" s="597">
        <v>0.1285</v>
      </c>
      <c r="C116" s="597">
        <v>3.26</v>
      </c>
      <c r="D116" s="597">
        <v>8.36</v>
      </c>
      <c r="F116" s="596">
        <v>0.124</v>
      </c>
      <c r="G116" s="596" t="s">
        <v>1064</v>
      </c>
      <c r="H116" s="596"/>
      <c r="I116" s="596">
        <v>0.4</v>
      </c>
      <c r="L116" s="753">
        <v>7</v>
      </c>
      <c r="M116" s="754">
        <v>0.14430000000000001</v>
      </c>
      <c r="N116" s="754">
        <v>3.665</v>
      </c>
    </row>
    <row r="117" spans="1:14" ht="14" x14ac:dyDescent="0.25">
      <c r="A117" s="597">
        <v>9</v>
      </c>
      <c r="B117" s="597">
        <v>0.1144</v>
      </c>
      <c r="C117" s="597">
        <v>2.91</v>
      </c>
      <c r="D117" s="597">
        <v>6.63</v>
      </c>
      <c r="F117" s="596">
        <v>0.128</v>
      </c>
      <c r="G117" s="596" t="s">
        <v>1062</v>
      </c>
      <c r="H117" s="596">
        <v>26</v>
      </c>
      <c r="I117" s="596">
        <v>0.4</v>
      </c>
      <c r="L117" s="755">
        <v>8</v>
      </c>
      <c r="M117" s="756">
        <v>0.1285</v>
      </c>
      <c r="N117" s="756">
        <v>3.2639999999999998</v>
      </c>
    </row>
    <row r="118" spans="1:14" ht="14" x14ac:dyDescent="0.25">
      <c r="A118" s="597">
        <v>10</v>
      </c>
      <c r="B118" s="597">
        <v>0.1019</v>
      </c>
      <c r="C118" s="597">
        <v>2.59</v>
      </c>
      <c r="D118" s="597">
        <v>5.26</v>
      </c>
      <c r="F118" s="596">
        <v>0.14099999999999999</v>
      </c>
      <c r="G118" s="596" t="s">
        <v>1065</v>
      </c>
      <c r="H118" s="596"/>
      <c r="I118" s="596">
        <v>0.42</v>
      </c>
      <c r="L118" s="753">
        <v>9</v>
      </c>
      <c r="M118" s="754">
        <v>0.1144</v>
      </c>
      <c r="N118" s="754">
        <v>2.9060000000000001</v>
      </c>
    </row>
    <row r="119" spans="1:14" ht="14" x14ac:dyDescent="0.25">
      <c r="A119" s="597">
        <v>11</v>
      </c>
      <c r="B119" s="597">
        <v>9.0700000000000003E-2</v>
      </c>
      <c r="C119" s="597">
        <v>2.2999999999999998</v>
      </c>
      <c r="D119" s="597">
        <v>4.17</v>
      </c>
      <c r="F119" s="596">
        <v>0.158</v>
      </c>
      <c r="G119" s="596" t="s">
        <v>1066</v>
      </c>
      <c r="H119" s="596"/>
      <c r="I119" s="596">
        <v>0.44</v>
      </c>
      <c r="L119" s="755">
        <v>10</v>
      </c>
      <c r="M119" s="756">
        <v>0.1019</v>
      </c>
      <c r="N119" s="756">
        <v>2.5880000000000001</v>
      </c>
    </row>
    <row r="120" spans="1:14" ht="14" x14ac:dyDescent="0.25">
      <c r="A120" s="597">
        <v>12</v>
      </c>
      <c r="B120" s="597">
        <v>8.0799999999999997E-2</v>
      </c>
      <c r="C120" s="597">
        <v>2.0499999999999998</v>
      </c>
      <c r="D120" s="597">
        <v>3.31</v>
      </c>
      <c r="F120" s="596">
        <v>0.16200000000000001</v>
      </c>
      <c r="G120" s="596"/>
      <c r="H120" s="596">
        <v>25</v>
      </c>
      <c r="I120" s="596">
        <v>0.45</v>
      </c>
      <c r="L120" s="753">
        <v>11</v>
      </c>
      <c r="M120" s="754">
        <v>9.0740000000000001E-2</v>
      </c>
      <c r="N120" s="754">
        <v>2.3050000000000002</v>
      </c>
    </row>
    <row r="121" spans="1:14" ht="14" x14ac:dyDescent="0.25">
      <c r="A121" s="597">
        <v>13</v>
      </c>
      <c r="B121" s="597">
        <v>7.1999999999999995E-2</v>
      </c>
      <c r="C121" s="597">
        <v>1.83</v>
      </c>
      <c r="D121" s="597">
        <v>2.63</v>
      </c>
      <c r="F121" s="596">
        <v>0.21</v>
      </c>
      <c r="G121" s="596"/>
      <c r="H121" s="596">
        <v>24</v>
      </c>
      <c r="I121" s="596">
        <v>0.51</v>
      </c>
      <c r="L121" s="755">
        <v>12</v>
      </c>
      <c r="M121" s="756">
        <v>8.0810000000000007E-2</v>
      </c>
      <c r="N121" s="756">
        <v>2.0529999999999999</v>
      </c>
    </row>
    <row r="122" spans="1:14" ht="14" x14ac:dyDescent="0.25">
      <c r="A122" s="597">
        <v>14</v>
      </c>
      <c r="B122" s="597">
        <v>6.4100000000000004E-2</v>
      </c>
      <c r="C122" s="597">
        <v>1.63</v>
      </c>
      <c r="D122" s="597">
        <v>2.08</v>
      </c>
      <c r="F122" s="596">
        <v>0.219</v>
      </c>
      <c r="G122" s="596" t="s">
        <v>1068</v>
      </c>
      <c r="H122" s="596"/>
      <c r="I122" s="596">
        <v>0.52</v>
      </c>
      <c r="L122" s="753">
        <v>13</v>
      </c>
      <c r="M122" s="754">
        <v>7.1959999999999996E-2</v>
      </c>
      <c r="N122" s="754">
        <v>1.8280000000000001</v>
      </c>
    </row>
    <row r="123" spans="1:14" ht="14" x14ac:dyDescent="0.25">
      <c r="A123" s="597">
        <v>15</v>
      </c>
      <c r="B123" s="597">
        <v>5.7099999999999998E-2</v>
      </c>
      <c r="C123" s="597">
        <v>1.45</v>
      </c>
      <c r="D123" s="597">
        <v>1.65</v>
      </c>
      <c r="F123" s="596">
        <v>0.25900000000000001</v>
      </c>
      <c r="G123" s="596"/>
      <c r="H123" s="596">
        <v>23</v>
      </c>
      <c r="I123" s="596">
        <v>0.56999999999999995</v>
      </c>
      <c r="L123" s="755">
        <v>14</v>
      </c>
      <c r="M123" s="756">
        <v>6.4079999999999998E-2</v>
      </c>
      <c r="N123" s="756">
        <v>1.6279999999999999</v>
      </c>
    </row>
    <row r="124" spans="1:14" ht="14" x14ac:dyDescent="0.25">
      <c r="A124" s="597">
        <v>16</v>
      </c>
      <c r="B124" s="597">
        <v>5.0799999999999998E-2</v>
      </c>
      <c r="C124" s="597">
        <v>1.29</v>
      </c>
      <c r="D124" s="597">
        <v>1.31</v>
      </c>
      <c r="F124" s="596">
        <v>0.28299999999999997</v>
      </c>
      <c r="G124" s="596" t="s">
        <v>1069</v>
      </c>
      <c r="H124" s="596"/>
      <c r="I124" s="596">
        <v>0.6</v>
      </c>
      <c r="L124" s="753">
        <v>15</v>
      </c>
      <c r="M124" s="754">
        <v>5.7070000000000003E-2</v>
      </c>
      <c r="N124" s="754">
        <v>1.45</v>
      </c>
    </row>
    <row r="125" spans="1:14" ht="14" x14ac:dyDescent="0.25">
      <c r="A125" s="597">
        <v>17</v>
      </c>
      <c r="B125" s="597">
        <v>4.53E-2</v>
      </c>
      <c r="C125" s="597">
        <v>1.1499999999999999</v>
      </c>
      <c r="D125" s="597">
        <v>1.04</v>
      </c>
      <c r="F125" s="596">
        <v>0.29099999999999998</v>
      </c>
      <c r="G125" s="596" t="s">
        <v>1070</v>
      </c>
      <c r="H125" s="596"/>
      <c r="I125" s="596">
        <v>0.61</v>
      </c>
      <c r="L125" s="755">
        <v>16</v>
      </c>
      <c r="M125" s="756">
        <v>5.0819999999999997E-2</v>
      </c>
      <c r="N125" s="756">
        <v>1.2909999999999999</v>
      </c>
    </row>
    <row r="126" spans="1:14" ht="14" x14ac:dyDescent="0.25">
      <c r="A126" s="597">
        <v>18</v>
      </c>
      <c r="B126" s="597">
        <v>4.0300000000000002E-2</v>
      </c>
      <c r="C126" s="597">
        <v>1.02</v>
      </c>
      <c r="D126" s="597">
        <v>0.82</v>
      </c>
      <c r="F126" s="596">
        <v>0.32400000000000001</v>
      </c>
      <c r="G126" s="596"/>
      <c r="H126" s="596">
        <v>22</v>
      </c>
      <c r="I126" s="596">
        <v>0.64</v>
      </c>
      <c r="L126" s="753">
        <v>17</v>
      </c>
      <c r="M126" s="754">
        <v>4.5260000000000002E-2</v>
      </c>
      <c r="N126" s="754">
        <v>1.149</v>
      </c>
    </row>
    <row r="127" spans="1:14" ht="14" x14ac:dyDescent="0.25">
      <c r="A127" s="597">
        <v>19</v>
      </c>
      <c r="B127" s="597">
        <v>3.5900000000000001E-2</v>
      </c>
      <c r="C127" s="597">
        <v>0.91</v>
      </c>
      <c r="D127" s="597">
        <v>0.65</v>
      </c>
      <c r="F127" s="596">
        <v>0.33600000000000002</v>
      </c>
      <c r="G127" s="596" t="s">
        <v>1071</v>
      </c>
      <c r="H127" s="596"/>
      <c r="I127" s="596">
        <v>0.65</v>
      </c>
      <c r="L127" s="755">
        <v>18</v>
      </c>
      <c r="M127" s="756">
        <v>4.0300000000000002E-2</v>
      </c>
      <c r="N127" s="756">
        <v>1.024</v>
      </c>
    </row>
    <row r="128" spans="1:14" ht="14" x14ac:dyDescent="0.25">
      <c r="A128" s="597">
        <v>20</v>
      </c>
      <c r="B128" s="597">
        <v>3.2000000000000001E-2</v>
      </c>
      <c r="C128" s="597">
        <v>0.81</v>
      </c>
      <c r="D128" s="597">
        <v>0.52</v>
      </c>
      <c r="F128" s="596">
        <v>0.34399999999999997</v>
      </c>
      <c r="G128" s="596" t="s">
        <v>1072</v>
      </c>
      <c r="H128" s="596"/>
      <c r="I128" s="596">
        <v>0.66</v>
      </c>
      <c r="L128" s="753">
        <v>19</v>
      </c>
      <c r="M128" s="754">
        <v>3.5889999999999998E-2</v>
      </c>
      <c r="N128" s="754">
        <v>0.91159999999999997</v>
      </c>
    </row>
    <row r="129" spans="1:16" ht="14" x14ac:dyDescent="0.25">
      <c r="A129" s="597">
        <v>21</v>
      </c>
      <c r="B129" s="597">
        <v>2.8500000000000001E-2</v>
      </c>
      <c r="C129" s="597">
        <v>0.72</v>
      </c>
      <c r="D129" s="597">
        <v>0.41</v>
      </c>
      <c r="F129" s="596">
        <v>0.35</v>
      </c>
      <c r="G129" s="596" t="s">
        <v>1071</v>
      </c>
      <c r="H129" s="596"/>
      <c r="I129" s="596">
        <v>0.67</v>
      </c>
      <c r="L129" s="755">
        <v>20</v>
      </c>
      <c r="M129" s="756">
        <v>3.1960000000000002E-2</v>
      </c>
      <c r="N129" s="756">
        <v>0.81179999999999997</v>
      </c>
    </row>
    <row r="130" spans="1:16" ht="14" x14ac:dyDescent="0.25">
      <c r="A130" s="597">
        <v>22</v>
      </c>
      <c r="B130" s="597">
        <v>2.5399999999999999E-2</v>
      </c>
      <c r="C130" s="597">
        <v>0.65</v>
      </c>
      <c r="D130" s="597">
        <v>0.33</v>
      </c>
      <c r="F130" s="596">
        <v>0.41</v>
      </c>
      <c r="G130" s="596" t="s">
        <v>1073</v>
      </c>
      <c r="H130" s="596"/>
      <c r="I130" s="596">
        <v>0.72</v>
      </c>
      <c r="L130" s="753">
        <v>21</v>
      </c>
      <c r="M130" s="754">
        <v>2.8459999999999999E-2</v>
      </c>
      <c r="N130" s="754">
        <v>0.72289999999999999</v>
      </c>
    </row>
    <row r="131" spans="1:16" ht="14" x14ac:dyDescent="0.25">
      <c r="A131" s="597">
        <v>23</v>
      </c>
      <c r="B131" s="597">
        <v>2.2599999999999999E-2</v>
      </c>
      <c r="C131" s="597">
        <v>0.56999999999999995</v>
      </c>
      <c r="D131" s="597">
        <v>0.26</v>
      </c>
      <c r="F131" s="596">
        <v>0.41199999999999998</v>
      </c>
      <c r="G131" s="596"/>
      <c r="H131" s="596">
        <v>21</v>
      </c>
      <c r="I131" s="596">
        <v>0.72</v>
      </c>
      <c r="L131" s="755">
        <v>22</v>
      </c>
      <c r="M131" s="756">
        <v>2.5350000000000001E-2</v>
      </c>
      <c r="N131" s="756">
        <v>0.64380000000000004</v>
      </c>
    </row>
    <row r="132" spans="1:16" ht="14" x14ac:dyDescent="0.25">
      <c r="A132" s="597">
        <v>24</v>
      </c>
      <c r="B132" s="597">
        <v>2.01E-2</v>
      </c>
      <c r="C132" s="597">
        <v>0.51</v>
      </c>
      <c r="D132" s="597">
        <v>0.2</v>
      </c>
      <c r="F132" s="596">
        <v>0.495</v>
      </c>
      <c r="G132" s="596" t="s">
        <v>1074</v>
      </c>
      <c r="H132" s="596"/>
      <c r="I132" s="596">
        <v>0.79</v>
      </c>
      <c r="L132" s="753">
        <v>23</v>
      </c>
      <c r="M132" s="754">
        <v>2.257E-2</v>
      </c>
      <c r="N132" s="754">
        <v>0.57330000000000003</v>
      </c>
    </row>
    <row r="133" spans="1:16" ht="14" x14ac:dyDescent="0.25">
      <c r="A133" s="597">
        <v>25</v>
      </c>
      <c r="B133" s="597">
        <v>1.7899999999999999E-2</v>
      </c>
      <c r="C133" s="597">
        <v>0.45</v>
      </c>
      <c r="D133" s="597">
        <v>0.16</v>
      </c>
      <c r="F133" s="596">
        <v>0.495</v>
      </c>
      <c r="G133" s="596" t="s">
        <v>1075</v>
      </c>
      <c r="H133" s="596"/>
      <c r="I133" s="596">
        <v>0.8</v>
      </c>
      <c r="L133" s="755">
        <v>24</v>
      </c>
      <c r="M133" s="756">
        <v>2.01E-2</v>
      </c>
      <c r="N133" s="756">
        <v>0.51060000000000005</v>
      </c>
    </row>
    <row r="134" spans="1:16" ht="14" x14ac:dyDescent="0.25">
      <c r="A134" s="597">
        <v>26</v>
      </c>
      <c r="B134" s="597">
        <v>1.5900000000000001E-2</v>
      </c>
      <c r="C134" s="597">
        <v>0.4</v>
      </c>
      <c r="D134" s="597">
        <v>0.13</v>
      </c>
      <c r="F134" s="596">
        <v>0.501</v>
      </c>
      <c r="G134" s="596" t="s">
        <v>1076</v>
      </c>
      <c r="H134" s="596"/>
      <c r="I134" s="596">
        <v>0.8</v>
      </c>
      <c r="L134" s="753">
        <v>25</v>
      </c>
      <c r="M134" s="754">
        <v>1.7899999999999999E-2</v>
      </c>
      <c r="N134" s="754">
        <v>0.45469999999999999</v>
      </c>
    </row>
    <row r="135" spans="1:16" ht="14" x14ac:dyDescent="0.25">
      <c r="F135" s="596">
        <v>0.503</v>
      </c>
      <c r="G135" s="596" t="s">
        <v>1077</v>
      </c>
      <c r="H135" s="596"/>
      <c r="I135" s="596">
        <v>0.8</v>
      </c>
      <c r="L135" s="755">
        <v>26</v>
      </c>
      <c r="M135" s="756">
        <v>1.5939999999999999E-2</v>
      </c>
      <c r="N135" s="756">
        <v>0.40489999999999998</v>
      </c>
    </row>
    <row r="136" spans="1:16" ht="28.5" x14ac:dyDescent="0.65">
      <c r="F136" s="596">
        <v>0.503</v>
      </c>
      <c r="G136" s="596" t="s">
        <v>1078</v>
      </c>
      <c r="H136" s="596"/>
      <c r="I136" s="596">
        <v>0.8</v>
      </c>
      <c r="J136" s="601"/>
      <c r="K136" s="601"/>
      <c r="L136" s="753">
        <v>27</v>
      </c>
      <c r="M136" s="754">
        <v>1.4200000000000001E-2</v>
      </c>
      <c r="N136" s="754">
        <v>0.36059999999999998</v>
      </c>
    </row>
    <row r="137" spans="1:16" ht="28.5" x14ac:dyDescent="0.65">
      <c r="A137" s="601"/>
      <c r="B137" s="601"/>
      <c r="C137" s="601"/>
      <c r="D137" s="601"/>
      <c r="E137" s="601"/>
      <c r="F137" s="596">
        <v>0.51900000000000002</v>
      </c>
      <c r="G137" s="596"/>
      <c r="H137" s="596">
        <v>20</v>
      </c>
      <c r="I137" s="596">
        <v>0.81</v>
      </c>
      <c r="L137" s="755">
        <v>28</v>
      </c>
      <c r="M137" s="756">
        <v>1.264E-2</v>
      </c>
      <c r="N137" s="756">
        <v>0.3211</v>
      </c>
      <c r="O137" s="601"/>
      <c r="P137" s="601"/>
    </row>
    <row r="138" spans="1:16" ht="14" x14ac:dyDescent="0.25">
      <c r="F138" s="596">
        <v>0.53900000000000003</v>
      </c>
      <c r="G138" s="596" t="s">
        <v>1079</v>
      </c>
      <c r="H138" s="596"/>
      <c r="I138" s="596">
        <v>0.83</v>
      </c>
      <c r="L138" s="753">
        <v>29</v>
      </c>
      <c r="M138" s="754">
        <v>1.1259999999999999E-2</v>
      </c>
      <c r="N138" s="754">
        <v>0.28589999999999999</v>
      </c>
    </row>
    <row r="139" spans="1:16" ht="14" x14ac:dyDescent="0.25">
      <c r="F139" s="596">
        <v>0.56599999999999995</v>
      </c>
      <c r="G139" s="596" t="s">
        <v>1080</v>
      </c>
      <c r="H139" s="596"/>
      <c r="I139" s="596">
        <v>0.85</v>
      </c>
      <c r="L139" s="755">
        <v>30</v>
      </c>
      <c r="M139" s="756">
        <v>1.0019999999999999E-2</v>
      </c>
      <c r="N139" s="756">
        <v>0.25459999999999999</v>
      </c>
    </row>
    <row r="140" spans="1:16" ht="14" x14ac:dyDescent="0.25">
      <c r="F140" s="596">
        <v>0.58899999999999997</v>
      </c>
      <c r="G140" s="596" t="s">
        <v>1081</v>
      </c>
      <c r="H140" s="596"/>
      <c r="I140" s="596">
        <v>0.87</v>
      </c>
      <c r="L140" s="753">
        <v>31</v>
      </c>
      <c r="M140" s="754">
        <v>8.9280000000000002E-3</v>
      </c>
      <c r="N140" s="754">
        <v>0.2268</v>
      </c>
    </row>
    <row r="141" spans="1:16" ht="14" x14ac:dyDescent="0.25">
      <c r="F141" s="596">
        <v>0.59699999999999998</v>
      </c>
      <c r="G141" s="596" t="s">
        <v>1082</v>
      </c>
      <c r="H141" s="596"/>
      <c r="I141" s="596">
        <v>0.87</v>
      </c>
      <c r="L141" s="755">
        <v>32</v>
      </c>
      <c r="M141" s="756">
        <v>7.9500000000000005E-3</v>
      </c>
      <c r="N141" s="756">
        <v>0.2019</v>
      </c>
    </row>
    <row r="142" spans="1:16" ht="14" x14ac:dyDescent="0.25">
      <c r="F142" s="596">
        <v>0.63600000000000001</v>
      </c>
      <c r="G142" s="596" t="s">
        <v>1083</v>
      </c>
      <c r="H142" s="596">
        <v>19</v>
      </c>
      <c r="I142" s="596">
        <v>0.9</v>
      </c>
      <c r="L142" s="753">
        <v>33</v>
      </c>
      <c r="M142" s="754">
        <v>7.0800000000000004E-3</v>
      </c>
      <c r="N142" s="754">
        <v>0.17979999999999999</v>
      </c>
    </row>
    <row r="143" spans="1:16" ht="14" x14ac:dyDescent="0.25">
      <c r="F143" s="596">
        <v>0.63600000000000001</v>
      </c>
      <c r="G143" s="596" t="s">
        <v>1084</v>
      </c>
      <c r="H143" s="596"/>
      <c r="I143" s="596">
        <v>0.9</v>
      </c>
      <c r="L143" s="755">
        <v>34</v>
      </c>
      <c r="M143" s="756">
        <v>6.3049999999999998E-3</v>
      </c>
      <c r="N143" s="756">
        <v>0.16009999999999999</v>
      </c>
    </row>
    <row r="144" spans="1:16" ht="14" x14ac:dyDescent="0.25">
      <c r="F144" s="596">
        <v>0.68700000000000006</v>
      </c>
      <c r="G144" s="596" t="s">
        <v>1085</v>
      </c>
      <c r="H144" s="596"/>
      <c r="I144" s="596">
        <v>0.94</v>
      </c>
      <c r="L144" s="753">
        <v>35</v>
      </c>
      <c r="M144" s="754">
        <v>5.6150000000000002E-3</v>
      </c>
      <c r="N144" s="754">
        <v>0.1426</v>
      </c>
    </row>
    <row r="145" spans="6:14" ht="14" x14ac:dyDescent="0.25">
      <c r="F145" s="596">
        <v>0.71</v>
      </c>
      <c r="G145" s="596" t="s">
        <v>1085</v>
      </c>
      <c r="H145" s="596"/>
      <c r="I145" s="596">
        <v>0.95</v>
      </c>
      <c r="L145" s="755">
        <v>36</v>
      </c>
      <c r="M145" s="756">
        <v>5.0000000000000001E-3</v>
      </c>
      <c r="N145" s="756">
        <v>0.127</v>
      </c>
    </row>
    <row r="146" spans="6:14" ht="14" x14ac:dyDescent="0.25">
      <c r="F146" s="596">
        <v>0.74199999999999999</v>
      </c>
      <c r="G146" s="596" t="s">
        <v>1086</v>
      </c>
      <c r="H146" s="596"/>
      <c r="I146" s="596">
        <v>0.97</v>
      </c>
      <c r="L146" s="753">
        <v>37</v>
      </c>
      <c r="M146" s="754">
        <v>4.4530000000000004E-3</v>
      </c>
      <c r="N146" s="754">
        <v>0.11310000000000001</v>
      </c>
    </row>
    <row r="147" spans="6:14" ht="14" x14ac:dyDescent="0.25">
      <c r="F147" s="596">
        <v>0.754</v>
      </c>
      <c r="G147" s="596" t="s">
        <v>1087</v>
      </c>
      <c r="H147" s="596"/>
      <c r="I147" s="596">
        <v>0.98</v>
      </c>
      <c r="L147" s="755">
        <v>38</v>
      </c>
      <c r="M147" s="756">
        <v>3.9649999999999998E-3</v>
      </c>
      <c r="N147" s="756">
        <v>0.1007</v>
      </c>
    </row>
    <row r="148" spans="6:14" ht="14" x14ac:dyDescent="0.25">
      <c r="F148" s="596">
        <v>0.79</v>
      </c>
      <c r="G148" s="596" t="s">
        <v>1088</v>
      </c>
      <c r="H148" s="596"/>
      <c r="I148" s="596">
        <v>1</v>
      </c>
      <c r="L148" s="753">
        <v>39</v>
      </c>
      <c r="M148" s="754">
        <v>3.5300000000000002E-3</v>
      </c>
      <c r="N148" s="754">
        <v>8.9690000000000006E-2</v>
      </c>
    </row>
    <row r="149" spans="6:14" ht="14" x14ac:dyDescent="0.25">
      <c r="F149" s="596">
        <v>0.82599999999999996</v>
      </c>
      <c r="G149" s="596"/>
      <c r="H149" s="596">
        <v>18</v>
      </c>
      <c r="I149" s="596">
        <v>1.02</v>
      </c>
      <c r="L149" s="755">
        <v>40</v>
      </c>
      <c r="M149" s="756">
        <v>3.1440000000000001E-3</v>
      </c>
      <c r="N149" s="756">
        <v>7.986E-2</v>
      </c>
    </row>
    <row r="150" spans="6:14" x14ac:dyDescent="0.25">
      <c r="F150" s="596">
        <v>0.93300000000000005</v>
      </c>
      <c r="G150" s="596" t="s">
        <v>1089</v>
      </c>
      <c r="H150" s="596"/>
      <c r="I150" s="596">
        <v>1.0900000000000001</v>
      </c>
    </row>
    <row r="151" spans="6:14" x14ac:dyDescent="0.25">
      <c r="F151" s="596">
        <v>0.99</v>
      </c>
      <c r="G151" s="596" t="s">
        <v>1090</v>
      </c>
      <c r="H151" s="596"/>
      <c r="I151" s="596">
        <v>1.1200000000000001</v>
      </c>
    </row>
    <row r="152" spans="6:14" x14ac:dyDescent="0.25">
      <c r="F152" s="596">
        <v>1.0029999999999999</v>
      </c>
      <c r="G152" s="596" t="s">
        <v>1091</v>
      </c>
      <c r="H152" s="596"/>
      <c r="I152" s="596">
        <v>1.1299999999999999</v>
      </c>
    </row>
    <row r="153" spans="6:14" x14ac:dyDescent="0.25">
      <c r="F153" s="596">
        <v>1.0049999999999999</v>
      </c>
      <c r="G153" s="596" t="s">
        <v>1092</v>
      </c>
      <c r="H153" s="596"/>
      <c r="I153" s="596">
        <v>1.1299999999999999</v>
      </c>
    </row>
    <row r="154" spans="6:14" x14ac:dyDescent="0.25">
      <c r="F154" s="596">
        <v>1.038</v>
      </c>
      <c r="G154" s="596"/>
      <c r="H154" s="596">
        <v>17</v>
      </c>
      <c r="I154" s="596">
        <v>1.1499999999999999</v>
      </c>
    </row>
    <row r="155" spans="6:14" x14ac:dyDescent="0.25">
      <c r="F155" s="596">
        <v>1.2569999999999999</v>
      </c>
      <c r="G155" s="596" t="s">
        <v>1093</v>
      </c>
      <c r="H155" s="596"/>
      <c r="I155" s="596">
        <v>1.26</v>
      </c>
    </row>
    <row r="156" spans="6:14" x14ac:dyDescent="0.25">
      <c r="F156" s="596">
        <v>1.2729999999999999</v>
      </c>
      <c r="G156" s="596" t="s">
        <v>1094</v>
      </c>
      <c r="H156" s="596"/>
      <c r="I156" s="596">
        <v>1.27</v>
      </c>
    </row>
    <row r="157" spans="6:14" x14ac:dyDescent="0.25">
      <c r="F157" s="596">
        <v>1.343</v>
      </c>
      <c r="G157" s="596" t="s">
        <v>1095</v>
      </c>
      <c r="H157" s="596">
        <v>16</v>
      </c>
      <c r="I157" s="596">
        <v>1.31</v>
      </c>
    </row>
    <row r="158" spans="6:14" x14ac:dyDescent="0.25">
      <c r="F158" s="596">
        <v>1.375</v>
      </c>
      <c r="G158" s="596" t="s">
        <v>1096</v>
      </c>
      <c r="H158" s="596"/>
      <c r="I158" s="596">
        <v>1.32</v>
      </c>
    </row>
    <row r="159" spans="6:14" x14ac:dyDescent="0.25">
      <c r="F159" s="596">
        <v>1.4730000000000001</v>
      </c>
      <c r="G159" s="596" t="s">
        <v>1097</v>
      </c>
      <c r="H159" s="596"/>
      <c r="I159" s="596">
        <v>1.37</v>
      </c>
    </row>
    <row r="160" spans="6:14" x14ac:dyDescent="0.25">
      <c r="F160" s="596">
        <v>1.4850000000000001</v>
      </c>
      <c r="G160" s="596" t="s">
        <v>1098</v>
      </c>
      <c r="H160" s="596"/>
      <c r="I160" s="596">
        <v>1.37</v>
      </c>
    </row>
    <row r="161" spans="6:9" x14ac:dyDescent="0.25">
      <c r="F161" s="596">
        <v>1.496</v>
      </c>
      <c r="G161" s="596" t="s">
        <v>1099</v>
      </c>
      <c r="H161" s="596"/>
      <c r="I161" s="596">
        <v>1.38</v>
      </c>
    </row>
    <row r="162" spans="6:9" x14ac:dyDescent="0.25">
      <c r="F162" s="596">
        <v>1.528</v>
      </c>
      <c r="G162" s="596" t="s">
        <v>1100</v>
      </c>
      <c r="H162" s="596"/>
      <c r="I162" s="596">
        <v>1.39</v>
      </c>
    </row>
    <row r="163" spans="6:9" x14ac:dyDescent="0.25">
      <c r="F163" s="596">
        <v>1.675</v>
      </c>
      <c r="G163" s="596" t="s">
        <v>1101</v>
      </c>
      <c r="H163" s="596">
        <v>15</v>
      </c>
      <c r="I163" s="596">
        <v>1.46</v>
      </c>
    </row>
    <row r="164" spans="6:9" x14ac:dyDescent="0.25">
      <c r="F164" s="596">
        <v>1.8160000000000001</v>
      </c>
      <c r="G164" s="596" t="s">
        <v>1102</v>
      </c>
      <c r="H164" s="596"/>
      <c r="I164" s="596">
        <v>1.52</v>
      </c>
    </row>
    <row r="165" spans="6:9" x14ac:dyDescent="0.25">
      <c r="F165" s="596">
        <v>1.8280000000000001</v>
      </c>
      <c r="G165" s="596" t="s">
        <v>1103</v>
      </c>
      <c r="H165" s="596"/>
      <c r="I165" s="596">
        <v>1.53</v>
      </c>
    </row>
    <row r="166" spans="6:9" x14ac:dyDescent="0.25">
      <c r="F166" s="596">
        <v>1.909</v>
      </c>
      <c r="G166" s="596" t="s">
        <v>1104</v>
      </c>
      <c r="H166" s="596"/>
      <c r="I166" s="596">
        <v>1.56</v>
      </c>
    </row>
    <row r="167" spans="6:9" x14ac:dyDescent="0.25">
      <c r="F167" s="596">
        <v>1.9790000000000001</v>
      </c>
      <c r="G167" s="596" t="s">
        <v>1105</v>
      </c>
      <c r="H167" s="596"/>
      <c r="I167" s="596">
        <v>1.59</v>
      </c>
    </row>
    <row r="168" spans="6:9" x14ac:dyDescent="0.25">
      <c r="F168" s="596">
        <v>1.9790000000000001</v>
      </c>
      <c r="G168" s="596" t="s">
        <v>1106</v>
      </c>
      <c r="H168" s="596"/>
      <c r="I168" s="596">
        <v>1.59</v>
      </c>
    </row>
    <row r="169" spans="6:9" x14ac:dyDescent="0.25">
      <c r="F169" s="596">
        <v>2.0430000000000001</v>
      </c>
      <c r="G169" s="596" t="s">
        <v>1107</v>
      </c>
      <c r="H169" s="596"/>
      <c r="I169" s="596">
        <v>1.61</v>
      </c>
    </row>
    <row r="170" spans="6:9" x14ac:dyDescent="0.25">
      <c r="F170" s="596">
        <v>2.08</v>
      </c>
      <c r="G170" s="596"/>
      <c r="H170" s="596">
        <v>14</v>
      </c>
      <c r="I170" s="596">
        <v>1.63</v>
      </c>
    </row>
    <row r="171" spans="6:9" x14ac:dyDescent="0.25">
      <c r="F171" s="596">
        <v>2.4550000000000001</v>
      </c>
      <c r="G171" s="596" t="s">
        <v>1108</v>
      </c>
      <c r="H171" s="596"/>
      <c r="I171" s="596">
        <v>1.77</v>
      </c>
    </row>
    <row r="172" spans="6:9" x14ac:dyDescent="0.25">
      <c r="F172" s="596">
        <v>2.468</v>
      </c>
      <c r="G172" s="596" t="s">
        <v>1109</v>
      </c>
      <c r="H172" s="596"/>
      <c r="I172" s="596">
        <v>1.77</v>
      </c>
    </row>
    <row r="173" spans="6:9" x14ac:dyDescent="0.25">
      <c r="F173" s="596">
        <v>2.4740000000000002</v>
      </c>
      <c r="G173" s="596" t="s">
        <v>1110</v>
      </c>
      <c r="H173" s="596"/>
      <c r="I173" s="596">
        <v>1.77</v>
      </c>
    </row>
    <row r="174" spans="6:9" x14ac:dyDescent="0.25">
      <c r="F174" s="596">
        <v>2.4889999999999999</v>
      </c>
      <c r="G174" s="596" t="s">
        <v>1111</v>
      </c>
      <c r="H174" s="596"/>
      <c r="I174" s="596">
        <v>1.78</v>
      </c>
    </row>
    <row r="175" spans="6:9" x14ac:dyDescent="0.25">
      <c r="F175" s="596">
        <v>2.5089999999999999</v>
      </c>
      <c r="G175" s="596" t="s">
        <v>1112</v>
      </c>
      <c r="H175" s="596"/>
      <c r="I175" s="596">
        <v>1.79</v>
      </c>
    </row>
    <row r="176" spans="6:9" x14ac:dyDescent="0.25">
      <c r="F176" s="596">
        <v>2.63</v>
      </c>
      <c r="G176" s="596"/>
      <c r="H176" s="596">
        <v>13</v>
      </c>
      <c r="I176" s="596">
        <v>1.83</v>
      </c>
    </row>
    <row r="177" spans="6:9" x14ac:dyDescent="0.25">
      <c r="F177" s="596">
        <v>2.8839999999999999</v>
      </c>
      <c r="G177" s="596" t="s">
        <v>1113</v>
      </c>
      <c r="H177" s="596"/>
      <c r="I177" s="596">
        <v>1.92</v>
      </c>
    </row>
    <row r="178" spans="6:9" x14ac:dyDescent="0.25">
      <c r="F178" s="596">
        <v>2.976</v>
      </c>
      <c r="G178" s="596" t="s">
        <v>1114</v>
      </c>
      <c r="H178" s="596"/>
      <c r="I178" s="596">
        <v>1.95</v>
      </c>
    </row>
    <row r="179" spans="6:9" x14ac:dyDescent="0.25">
      <c r="F179" s="596">
        <v>3.0219999999999998</v>
      </c>
      <c r="G179" s="596" t="s">
        <v>1115</v>
      </c>
      <c r="H179" s="596"/>
      <c r="I179" s="596">
        <v>1.96</v>
      </c>
    </row>
    <row r="180" spans="6:9" x14ac:dyDescent="0.25">
      <c r="F180" s="596">
        <v>3.1110000000000002</v>
      </c>
      <c r="G180" s="596" t="s">
        <v>1116</v>
      </c>
      <c r="H180" s="596"/>
      <c r="I180" s="596">
        <v>1.99</v>
      </c>
    </row>
    <row r="181" spans="6:9" x14ac:dyDescent="0.25">
      <c r="F181" s="596">
        <v>3.181</v>
      </c>
      <c r="G181" s="596" t="s">
        <v>1117</v>
      </c>
      <c r="H181" s="596"/>
      <c r="I181" s="596">
        <v>2.0099999999999998</v>
      </c>
    </row>
    <row r="182" spans="6:9" x14ac:dyDescent="0.25">
      <c r="F182" s="596">
        <v>3.32</v>
      </c>
      <c r="G182" s="596"/>
      <c r="H182" s="596">
        <v>12</v>
      </c>
      <c r="I182" s="596">
        <v>2.06</v>
      </c>
    </row>
    <row r="183" spans="6:9" x14ac:dyDescent="0.25">
      <c r="F183" s="596">
        <v>3.7469999999999999</v>
      </c>
      <c r="G183" s="596" t="s">
        <v>1118</v>
      </c>
      <c r="H183" s="596"/>
      <c r="I183" s="596">
        <v>2.1800000000000002</v>
      </c>
    </row>
    <row r="184" spans="6:9" x14ac:dyDescent="0.25">
      <c r="F184" s="596">
        <v>3.9590000000000001</v>
      </c>
      <c r="G184" s="596" t="s">
        <v>1119</v>
      </c>
      <c r="H184" s="596"/>
      <c r="I184" s="596">
        <v>2.2400000000000002</v>
      </c>
    </row>
    <row r="185" spans="6:9" x14ac:dyDescent="0.25">
      <c r="F185" s="596">
        <v>3.9729999999999999</v>
      </c>
      <c r="G185" s="596" t="s">
        <v>1120</v>
      </c>
      <c r="H185" s="596"/>
      <c r="I185" s="596">
        <v>2.25</v>
      </c>
    </row>
    <row r="186" spans="6:9" x14ac:dyDescent="0.25">
      <c r="F186" s="596">
        <v>3.976</v>
      </c>
      <c r="G186" s="596" t="s">
        <v>1121</v>
      </c>
      <c r="H186" s="596"/>
      <c r="I186" s="596">
        <v>2.25</v>
      </c>
    </row>
    <row r="187" spans="6:9" x14ac:dyDescent="0.25">
      <c r="F187" s="596">
        <v>4.13</v>
      </c>
      <c r="G187" s="596"/>
      <c r="H187" s="596">
        <v>11</v>
      </c>
      <c r="I187" s="596">
        <v>2.29</v>
      </c>
    </row>
    <row r="188" spans="6:9" x14ac:dyDescent="0.25">
      <c r="F188" s="596">
        <v>4.5949999999999998</v>
      </c>
      <c r="G188" s="596" t="s">
        <v>1122</v>
      </c>
      <c r="H188" s="596"/>
      <c r="I188" s="596">
        <v>2.42</v>
      </c>
    </row>
    <row r="189" spans="6:9" x14ac:dyDescent="0.25">
      <c r="F189" s="596">
        <v>4.6500000000000004</v>
      </c>
      <c r="G189" s="596" t="s">
        <v>1123</v>
      </c>
      <c r="H189" s="596"/>
      <c r="I189" s="596">
        <v>2.4300000000000002</v>
      </c>
    </row>
    <row r="190" spans="6:9" x14ac:dyDescent="0.25">
      <c r="F190" s="596">
        <v>5.1609999999999996</v>
      </c>
      <c r="G190" s="596" t="s">
        <v>1124</v>
      </c>
      <c r="H190" s="596"/>
      <c r="I190" s="596">
        <v>2.56</v>
      </c>
    </row>
    <row r="191" spans="6:9" x14ac:dyDescent="0.25">
      <c r="F191" s="596">
        <v>5.26</v>
      </c>
      <c r="G191" s="596"/>
      <c r="H191" s="596">
        <v>10</v>
      </c>
      <c r="I191" s="596">
        <v>2.59</v>
      </c>
    </row>
    <row r="192" spans="6:9" x14ac:dyDescent="0.25">
      <c r="F192" s="596">
        <v>5.9379999999999997</v>
      </c>
      <c r="G192" s="596" t="s">
        <v>1125</v>
      </c>
      <c r="H192" s="596"/>
      <c r="I192" s="596">
        <v>2.75</v>
      </c>
    </row>
    <row r="193" spans="6:9" x14ac:dyDescent="0.25">
      <c r="F193" s="596">
        <v>5.9470000000000001</v>
      </c>
      <c r="G193" s="596" t="s">
        <v>1126</v>
      </c>
      <c r="H193" s="596"/>
      <c r="I193" s="596">
        <v>2.75</v>
      </c>
    </row>
    <row r="194" spans="6:9" x14ac:dyDescent="0.25">
      <c r="F194" s="596">
        <v>6.64</v>
      </c>
      <c r="G194" s="596"/>
      <c r="H194" s="596">
        <v>9</v>
      </c>
      <c r="I194" s="596">
        <v>2.91</v>
      </c>
    </row>
    <row r="195" spans="6:9" x14ac:dyDescent="0.25">
      <c r="F195" s="596">
        <v>6.8570000000000002</v>
      </c>
      <c r="G195" s="596" t="s">
        <v>1127</v>
      </c>
      <c r="H195" s="596"/>
      <c r="I195" s="596">
        <v>2.95</v>
      </c>
    </row>
    <row r="196" spans="6:9" x14ac:dyDescent="0.25">
      <c r="F196" s="596">
        <v>7.266</v>
      </c>
      <c r="G196" s="596" t="s">
        <v>1128</v>
      </c>
      <c r="H196" s="596"/>
      <c r="I196" s="596">
        <v>3.04</v>
      </c>
    </row>
    <row r="197" spans="6:9" x14ac:dyDescent="0.25">
      <c r="F197" s="596">
        <v>7.423</v>
      </c>
      <c r="G197" s="596" t="s">
        <v>1129</v>
      </c>
      <c r="H197" s="596"/>
      <c r="I197" s="596">
        <v>3.07</v>
      </c>
    </row>
    <row r="198" spans="6:9" x14ac:dyDescent="0.25">
      <c r="F198" s="596">
        <v>8.3699999999999992</v>
      </c>
      <c r="G198" s="596"/>
      <c r="H198" s="596">
        <v>8</v>
      </c>
      <c r="I198" s="596">
        <v>3.26</v>
      </c>
    </row>
    <row r="199" spans="6:9" x14ac:dyDescent="0.25">
      <c r="F199" s="596">
        <v>8.4130000000000003</v>
      </c>
      <c r="G199" s="596" t="s">
        <v>1130</v>
      </c>
      <c r="H199" s="596"/>
      <c r="I199" s="596">
        <v>3.27</v>
      </c>
    </row>
    <row r="200" spans="6:9" x14ac:dyDescent="0.25">
      <c r="F200" s="596">
        <v>8.4830000000000005</v>
      </c>
      <c r="G200" s="596" t="s">
        <v>1131</v>
      </c>
      <c r="H200" s="596"/>
      <c r="I200" s="596">
        <v>3.28</v>
      </c>
    </row>
    <row r="201" spans="6:9" x14ac:dyDescent="0.25">
      <c r="F201" s="596">
        <v>10.010999999999999</v>
      </c>
      <c r="G201" s="596" t="s">
        <v>1132</v>
      </c>
      <c r="H201" s="596"/>
      <c r="I201" s="596">
        <v>3.57</v>
      </c>
    </row>
    <row r="202" spans="6:9" x14ac:dyDescent="0.25">
      <c r="F202" s="596">
        <v>10.021000000000001</v>
      </c>
      <c r="G202" s="596" t="s">
        <v>1133</v>
      </c>
      <c r="H202" s="596"/>
      <c r="I202" s="596">
        <v>3.57</v>
      </c>
    </row>
    <row r="203" spans="6:9" x14ac:dyDescent="0.25">
      <c r="F203" s="596">
        <v>10.55</v>
      </c>
      <c r="G203" s="596"/>
      <c r="H203" s="596">
        <v>7</v>
      </c>
      <c r="I203" s="596">
        <v>3.66</v>
      </c>
    </row>
    <row r="204" spans="6:9" x14ac:dyDescent="0.25">
      <c r="F204" s="596">
        <v>12.866</v>
      </c>
      <c r="G204" s="596" t="s">
        <v>1134</v>
      </c>
      <c r="H204" s="596"/>
      <c r="I204" s="596">
        <v>4.05</v>
      </c>
    </row>
    <row r="205" spans="6:9" x14ac:dyDescent="0.25">
      <c r="F205" s="596">
        <v>13.3</v>
      </c>
      <c r="G205" s="596"/>
      <c r="H205" s="596">
        <v>6</v>
      </c>
      <c r="I205" s="596">
        <v>4.1100000000000003</v>
      </c>
    </row>
    <row r="206" spans="6:9" x14ac:dyDescent="0.25">
      <c r="F206" s="596">
        <v>15.89</v>
      </c>
      <c r="G206" s="596" t="s">
        <v>1135</v>
      </c>
      <c r="H206" s="596"/>
      <c r="I206" s="596">
        <v>4.5</v>
      </c>
    </row>
    <row r="207" spans="6:9" x14ac:dyDescent="0.25">
      <c r="F207" s="596">
        <v>15.906000000000001</v>
      </c>
      <c r="G207" s="596" t="s">
        <v>1136</v>
      </c>
      <c r="H207" s="596"/>
      <c r="I207" s="596">
        <v>4.5</v>
      </c>
    </row>
    <row r="208" spans="6:9" x14ac:dyDescent="0.25">
      <c r="F208" s="596">
        <v>16.77</v>
      </c>
      <c r="G208" s="596"/>
      <c r="H208" s="596">
        <v>5</v>
      </c>
      <c r="I208" s="596">
        <v>4.62</v>
      </c>
    </row>
    <row r="209" spans="1:11" x14ac:dyDescent="0.25">
      <c r="F209" s="596">
        <v>21.15</v>
      </c>
      <c r="G209" s="596"/>
      <c r="H209" s="596">
        <v>4</v>
      </c>
      <c r="I209" s="596">
        <v>5.18</v>
      </c>
    </row>
    <row r="210" spans="1:11" x14ac:dyDescent="0.25">
      <c r="F210" s="596">
        <v>25.181000000000001</v>
      </c>
      <c r="G210" s="596" t="s">
        <v>1137</v>
      </c>
      <c r="H210" s="596"/>
      <c r="I210" s="596">
        <v>5.66</v>
      </c>
    </row>
    <row r="211" spans="1:11" x14ac:dyDescent="0.25">
      <c r="F211" s="596">
        <v>26.67</v>
      </c>
      <c r="G211" s="596"/>
      <c r="H211" s="596">
        <v>3</v>
      </c>
      <c r="I211" s="596">
        <v>5.82</v>
      </c>
    </row>
    <row r="212" spans="1:11" x14ac:dyDescent="0.25">
      <c r="F212" s="596">
        <v>27.2</v>
      </c>
      <c r="G212" s="596" t="s">
        <v>1138</v>
      </c>
      <c r="H212" s="596"/>
      <c r="I212" s="596">
        <v>5.88</v>
      </c>
    </row>
    <row r="213" spans="1:11" x14ac:dyDescent="0.25">
      <c r="F213" s="596">
        <v>33.619999999999997</v>
      </c>
      <c r="G213" s="596"/>
      <c r="H213" s="596">
        <v>2</v>
      </c>
      <c r="I213" s="596">
        <v>6.55</v>
      </c>
    </row>
    <row r="214" spans="1:11" x14ac:dyDescent="0.25">
      <c r="F214" s="596">
        <v>34.936999999999998</v>
      </c>
      <c r="G214" s="596" t="s">
        <v>1139</v>
      </c>
      <c r="H214" s="596"/>
      <c r="I214" s="596">
        <v>6.67</v>
      </c>
    </row>
    <row r="221" spans="1:11" x14ac:dyDescent="0.25">
      <c r="A221" s="602"/>
    </row>
    <row r="222" spans="1:11" ht="13" thickBot="1" x14ac:dyDescent="0.3">
      <c r="A222" s="631"/>
    </row>
    <row r="223" spans="1:11" ht="21.5" thickBot="1" x14ac:dyDescent="0.3">
      <c r="A223" s="943" t="s">
        <v>800</v>
      </c>
      <c r="B223" s="632" t="s">
        <v>801</v>
      </c>
      <c r="C223" s="946" t="s">
        <v>420</v>
      </c>
      <c r="D223" s="947"/>
      <c r="E223" s="946" t="s">
        <v>802</v>
      </c>
      <c r="F223" s="947"/>
      <c r="G223" s="946" t="s">
        <v>803</v>
      </c>
      <c r="H223" s="947"/>
      <c r="I223" s="946" t="s">
        <v>804</v>
      </c>
      <c r="J223" s="947"/>
      <c r="K223" s="632" t="s">
        <v>805</v>
      </c>
    </row>
    <row r="224" spans="1:11" ht="20" x14ac:dyDescent="0.25">
      <c r="A224" s="944"/>
      <c r="B224" s="948" t="s">
        <v>1165</v>
      </c>
      <c r="C224" s="633" t="s">
        <v>807</v>
      </c>
      <c r="D224" s="633" t="s">
        <v>808</v>
      </c>
      <c r="E224" s="633" t="s">
        <v>807</v>
      </c>
      <c r="F224" s="633" t="s">
        <v>808</v>
      </c>
      <c r="G224" s="633" t="s">
        <v>807</v>
      </c>
      <c r="H224" s="633" t="s">
        <v>808</v>
      </c>
      <c r="I224" s="633" t="s">
        <v>807</v>
      </c>
      <c r="J224" s="633" t="s">
        <v>808</v>
      </c>
      <c r="K224" s="635" t="s">
        <v>807</v>
      </c>
    </row>
    <row r="225" spans="1:11" ht="32.5" thickBot="1" x14ac:dyDescent="0.3">
      <c r="A225" s="945"/>
      <c r="B225" s="950"/>
      <c r="C225" s="634" t="s">
        <v>1166</v>
      </c>
      <c r="D225" s="634" t="s">
        <v>1164</v>
      </c>
      <c r="E225" s="634" t="s">
        <v>1165</v>
      </c>
      <c r="F225" s="634" t="s">
        <v>1164</v>
      </c>
      <c r="G225" s="634" t="s">
        <v>1165</v>
      </c>
      <c r="H225" s="634" t="s">
        <v>1164</v>
      </c>
      <c r="I225" s="634" t="s">
        <v>1166</v>
      </c>
      <c r="J225" s="634" t="s">
        <v>1167</v>
      </c>
      <c r="K225" s="636" t="s">
        <v>1165</v>
      </c>
    </row>
    <row r="226" spans="1:11" x14ac:dyDescent="0.25">
      <c r="A226" s="948">
        <v>44</v>
      </c>
      <c r="B226" s="633">
        <v>4.7000000000000002E-3</v>
      </c>
      <c r="C226" s="951"/>
      <c r="D226" s="951"/>
      <c r="E226" s="951"/>
      <c r="F226" s="951"/>
      <c r="G226" s="951"/>
      <c r="H226" s="951"/>
      <c r="I226" s="951"/>
      <c r="J226" s="951"/>
      <c r="K226" s="953"/>
    </row>
    <row r="227" spans="1:11" ht="13" thickBot="1" x14ac:dyDescent="0.3">
      <c r="A227" s="950"/>
      <c r="B227" s="628">
        <v>0.11899999999999999</v>
      </c>
      <c r="C227" s="952"/>
      <c r="D227" s="952"/>
      <c r="E227" s="952"/>
      <c r="F227" s="952"/>
      <c r="G227" s="952"/>
      <c r="H227" s="952"/>
      <c r="I227" s="952"/>
      <c r="J227" s="952"/>
      <c r="K227" s="954"/>
    </row>
    <row r="228" spans="1:11" x14ac:dyDescent="0.25">
      <c r="A228" s="955">
        <v>43</v>
      </c>
      <c r="B228" s="633">
        <v>4.8999999999999998E-3</v>
      </c>
      <c r="C228" s="951"/>
      <c r="D228" s="951"/>
      <c r="E228" s="951"/>
      <c r="F228" s="951"/>
      <c r="G228" s="951"/>
      <c r="H228" s="951"/>
      <c r="I228" s="951"/>
      <c r="J228" s="951"/>
      <c r="K228" s="953"/>
    </row>
    <row r="229" spans="1:11" ht="13" thickBot="1" x14ac:dyDescent="0.3">
      <c r="A229" s="950"/>
      <c r="B229" s="628">
        <v>0.124</v>
      </c>
      <c r="C229" s="952"/>
      <c r="D229" s="952"/>
      <c r="E229" s="952"/>
      <c r="F229" s="952"/>
      <c r="G229" s="952"/>
      <c r="H229" s="952"/>
      <c r="I229" s="952"/>
      <c r="J229" s="952"/>
      <c r="K229" s="954"/>
    </row>
    <row r="230" spans="1:11" x14ac:dyDescent="0.25">
      <c r="A230" s="955">
        <v>42</v>
      </c>
      <c r="B230" s="633">
        <v>5.1000000000000004E-3</v>
      </c>
      <c r="C230" s="951"/>
      <c r="D230" s="951"/>
      <c r="E230" s="951"/>
      <c r="F230" s="951"/>
      <c r="G230" s="951"/>
      <c r="H230" s="951"/>
      <c r="I230" s="951"/>
      <c r="J230" s="951"/>
      <c r="K230" s="953"/>
    </row>
    <row r="231" spans="1:11" ht="13" thickBot="1" x14ac:dyDescent="0.3">
      <c r="A231" s="950"/>
      <c r="B231" s="628">
        <v>0.13</v>
      </c>
      <c r="C231" s="952"/>
      <c r="D231" s="952"/>
      <c r="E231" s="952"/>
      <c r="F231" s="952"/>
      <c r="G231" s="952"/>
      <c r="H231" s="952"/>
      <c r="I231" s="952"/>
      <c r="J231" s="952"/>
      <c r="K231" s="954"/>
    </row>
    <row r="232" spans="1:11" x14ac:dyDescent="0.25">
      <c r="A232" s="955">
        <v>41</v>
      </c>
      <c r="B232" s="633">
        <v>5.3E-3</v>
      </c>
      <c r="C232" s="951"/>
      <c r="D232" s="951"/>
      <c r="E232" s="951"/>
      <c r="F232" s="951"/>
      <c r="G232" s="951"/>
      <c r="H232" s="951"/>
      <c r="I232" s="951"/>
      <c r="J232" s="951"/>
      <c r="K232" s="953"/>
    </row>
    <row r="233" spans="1:11" ht="13" thickBot="1" x14ac:dyDescent="0.3">
      <c r="A233" s="950"/>
      <c r="B233" s="628">
        <v>0.13500000000000001</v>
      </c>
      <c r="C233" s="952"/>
      <c r="D233" s="952"/>
      <c r="E233" s="952"/>
      <c r="F233" s="952"/>
      <c r="G233" s="952"/>
      <c r="H233" s="952"/>
      <c r="I233" s="952"/>
      <c r="J233" s="952"/>
      <c r="K233" s="954"/>
    </row>
    <row r="234" spans="1:11" x14ac:dyDescent="0.25">
      <c r="A234" s="955">
        <v>40</v>
      </c>
      <c r="B234" s="633">
        <v>5.4999999999999997E-3</v>
      </c>
      <c r="C234" s="951"/>
      <c r="D234" s="951"/>
      <c r="E234" s="951"/>
      <c r="F234" s="951"/>
      <c r="G234" s="951"/>
      <c r="H234" s="951"/>
      <c r="I234" s="951"/>
      <c r="J234" s="951"/>
      <c r="K234" s="953"/>
    </row>
    <row r="235" spans="1:11" ht="13" thickBot="1" x14ac:dyDescent="0.3">
      <c r="A235" s="950"/>
      <c r="B235" s="628">
        <v>0.14000000000000001</v>
      </c>
      <c r="C235" s="952"/>
      <c r="D235" s="952"/>
      <c r="E235" s="952"/>
      <c r="F235" s="952"/>
      <c r="G235" s="952"/>
      <c r="H235" s="952"/>
      <c r="I235" s="952"/>
      <c r="J235" s="952"/>
      <c r="K235" s="954"/>
    </row>
    <row r="236" spans="1:11" x14ac:dyDescent="0.25">
      <c r="A236" s="955">
        <v>39</v>
      </c>
      <c r="B236" s="633">
        <v>5.8999999999999999E-3</v>
      </c>
      <c r="C236" s="951"/>
      <c r="D236" s="951"/>
      <c r="E236" s="951"/>
      <c r="F236" s="951"/>
      <c r="G236" s="951"/>
      <c r="H236" s="951"/>
      <c r="I236" s="951"/>
      <c r="J236" s="951"/>
      <c r="K236" s="953"/>
    </row>
    <row r="237" spans="1:11" ht="13" thickBot="1" x14ac:dyDescent="0.3">
      <c r="A237" s="950"/>
      <c r="B237" s="628">
        <v>0.15</v>
      </c>
      <c r="C237" s="952"/>
      <c r="D237" s="952"/>
      <c r="E237" s="952"/>
      <c r="F237" s="952"/>
      <c r="G237" s="952"/>
      <c r="H237" s="952"/>
      <c r="I237" s="952"/>
      <c r="J237" s="952"/>
      <c r="K237" s="954"/>
    </row>
    <row r="238" spans="1:11" x14ac:dyDescent="0.25">
      <c r="A238" s="955">
        <v>38</v>
      </c>
      <c r="B238" s="633">
        <v>6.3E-3</v>
      </c>
      <c r="C238" s="633">
        <v>6.0000000000000001E-3</v>
      </c>
      <c r="D238" s="951"/>
      <c r="E238" s="951"/>
      <c r="F238" s="951"/>
      <c r="G238" s="633">
        <v>6.1999999999999998E-3</v>
      </c>
      <c r="H238" s="951"/>
      <c r="I238" s="633">
        <v>4.0000000000000001E-3</v>
      </c>
      <c r="J238" s="951"/>
      <c r="K238" s="953"/>
    </row>
    <row r="239" spans="1:11" ht="13" thickBot="1" x14ac:dyDescent="0.3">
      <c r="A239" s="950"/>
      <c r="B239" s="628">
        <v>0.16</v>
      </c>
      <c r="C239" s="628">
        <v>0.152</v>
      </c>
      <c r="D239" s="952"/>
      <c r="E239" s="952"/>
      <c r="F239" s="952"/>
      <c r="G239" s="628">
        <v>0.157</v>
      </c>
      <c r="H239" s="952"/>
      <c r="I239" s="628">
        <v>0.10199999999999999</v>
      </c>
      <c r="J239" s="952"/>
      <c r="K239" s="954"/>
    </row>
    <row r="240" spans="1:11" x14ac:dyDescent="0.25">
      <c r="A240" s="955">
        <v>37</v>
      </c>
      <c r="B240" s="633">
        <v>6.6E-3</v>
      </c>
      <c r="C240" s="633">
        <v>6.4000000000000003E-3</v>
      </c>
      <c r="D240" s="951"/>
      <c r="E240" s="951"/>
      <c r="F240" s="951"/>
      <c r="G240" s="633">
        <v>6.6E-3</v>
      </c>
      <c r="H240" s="951"/>
      <c r="I240" s="633">
        <v>4.4999999999999997E-3</v>
      </c>
      <c r="J240" s="951"/>
      <c r="K240" s="953"/>
    </row>
    <row r="241" spans="1:11" ht="13" thickBot="1" x14ac:dyDescent="0.3">
      <c r="A241" s="950"/>
      <c r="B241" s="628">
        <v>0.16800000000000001</v>
      </c>
      <c r="C241" s="628">
        <v>0.16300000000000001</v>
      </c>
      <c r="D241" s="952"/>
      <c r="E241" s="952"/>
      <c r="F241" s="952"/>
      <c r="G241" s="628">
        <v>0.16800000000000001</v>
      </c>
      <c r="H241" s="952"/>
      <c r="I241" s="628">
        <v>0.114</v>
      </c>
      <c r="J241" s="952"/>
      <c r="K241" s="954"/>
    </row>
    <row r="242" spans="1:11" x14ac:dyDescent="0.25">
      <c r="A242" s="955">
        <v>36</v>
      </c>
      <c r="B242" s="633">
        <v>7.0000000000000001E-3</v>
      </c>
      <c r="C242" s="633">
        <v>6.7000000000000002E-3</v>
      </c>
      <c r="D242" s="951"/>
      <c r="E242" s="951"/>
      <c r="F242" s="951"/>
      <c r="G242" s="633">
        <v>7.0000000000000001E-3</v>
      </c>
      <c r="H242" s="951"/>
      <c r="I242" s="633">
        <v>5.0000000000000001E-3</v>
      </c>
      <c r="J242" s="951"/>
      <c r="K242" s="635">
        <v>4.0000000000000001E-3</v>
      </c>
    </row>
    <row r="243" spans="1:11" ht="13" thickBot="1" x14ac:dyDescent="0.3">
      <c r="A243" s="950"/>
      <c r="B243" s="628">
        <v>0.17799999999999999</v>
      </c>
      <c r="C243" s="628">
        <v>0.17</v>
      </c>
      <c r="D243" s="952"/>
      <c r="E243" s="952"/>
      <c r="F243" s="952"/>
      <c r="G243" s="628">
        <v>0.17799999999999999</v>
      </c>
      <c r="H243" s="952"/>
      <c r="I243" s="628">
        <v>0.127</v>
      </c>
      <c r="J243" s="952"/>
      <c r="K243" s="629">
        <v>0.10199999999999999</v>
      </c>
    </row>
    <row r="244" spans="1:11" x14ac:dyDescent="0.25">
      <c r="A244" s="955">
        <v>35</v>
      </c>
      <c r="B244" s="633">
        <v>7.7999999999999996E-3</v>
      </c>
      <c r="C244" s="633">
        <v>7.4999999999999997E-3</v>
      </c>
      <c r="D244" s="951"/>
      <c r="E244" s="951"/>
      <c r="F244" s="951"/>
      <c r="G244" s="633">
        <v>7.7999999999999996E-3</v>
      </c>
      <c r="H244" s="951"/>
      <c r="I244" s="633">
        <v>5.5999999999999999E-3</v>
      </c>
      <c r="J244" s="951"/>
      <c r="K244" s="635">
        <v>5.0000000000000001E-3</v>
      </c>
    </row>
    <row r="245" spans="1:11" ht="13" thickBot="1" x14ac:dyDescent="0.3">
      <c r="A245" s="950"/>
      <c r="B245" s="628">
        <v>0.19800000000000001</v>
      </c>
      <c r="C245" s="628">
        <v>0.19</v>
      </c>
      <c r="D245" s="952"/>
      <c r="E245" s="952"/>
      <c r="F245" s="952"/>
      <c r="G245" s="628">
        <v>0.19800000000000001</v>
      </c>
      <c r="H245" s="952"/>
      <c r="I245" s="628">
        <v>0.14199999999999999</v>
      </c>
      <c r="J245" s="952"/>
      <c r="K245" s="629">
        <v>0.127</v>
      </c>
    </row>
    <row r="246" spans="1:11" x14ac:dyDescent="0.25">
      <c r="A246" s="955">
        <v>34</v>
      </c>
      <c r="B246" s="633">
        <v>8.6E-3</v>
      </c>
      <c r="C246" s="633">
        <v>8.2000000000000007E-3</v>
      </c>
      <c r="D246" s="951"/>
      <c r="E246" s="951"/>
      <c r="F246" s="951"/>
      <c r="G246" s="633">
        <v>8.6E-3</v>
      </c>
      <c r="H246" s="951"/>
      <c r="I246" s="633">
        <v>6.3E-3</v>
      </c>
      <c r="J246" s="951"/>
      <c r="K246" s="635">
        <v>7.0000000000000001E-3</v>
      </c>
    </row>
    <row r="247" spans="1:11" ht="13" thickBot="1" x14ac:dyDescent="0.3">
      <c r="A247" s="950"/>
      <c r="B247" s="628">
        <v>0.218</v>
      </c>
      <c r="C247" s="628">
        <v>0.20799999999999999</v>
      </c>
      <c r="D247" s="952"/>
      <c r="E247" s="952"/>
      <c r="F247" s="952"/>
      <c r="G247" s="628">
        <v>0.218</v>
      </c>
      <c r="H247" s="952"/>
      <c r="I247" s="628">
        <v>0.16</v>
      </c>
      <c r="J247" s="952"/>
      <c r="K247" s="629">
        <v>0.17799999999999999</v>
      </c>
    </row>
    <row r="248" spans="1:11" x14ac:dyDescent="0.25">
      <c r="A248" s="955">
        <v>33</v>
      </c>
      <c r="B248" s="633">
        <v>9.4000000000000004E-3</v>
      </c>
      <c r="C248" s="633">
        <v>8.9999999999999993E-3</v>
      </c>
      <c r="D248" s="951"/>
      <c r="E248" s="951"/>
      <c r="F248" s="951"/>
      <c r="G248" s="633">
        <v>9.4000000000000004E-3</v>
      </c>
      <c r="H248" s="951"/>
      <c r="I248" s="633">
        <v>7.1000000000000004E-3</v>
      </c>
      <c r="J248" s="951"/>
      <c r="K248" s="635">
        <v>8.0000000000000002E-3</v>
      </c>
    </row>
    <row r="249" spans="1:11" ht="13" thickBot="1" x14ac:dyDescent="0.3">
      <c r="A249" s="950"/>
      <c r="B249" s="628">
        <v>0.23899999999999999</v>
      </c>
      <c r="C249" s="628">
        <v>0.22900000000000001</v>
      </c>
      <c r="D249" s="952"/>
      <c r="E249" s="952"/>
      <c r="F249" s="952"/>
      <c r="G249" s="628">
        <v>0.23899999999999999</v>
      </c>
      <c r="H249" s="952"/>
      <c r="I249" s="628">
        <v>0.18</v>
      </c>
      <c r="J249" s="952"/>
      <c r="K249" s="629">
        <v>0.20300000000000001</v>
      </c>
    </row>
    <row r="250" spans="1:11" x14ac:dyDescent="0.25">
      <c r="A250" s="955">
        <v>32</v>
      </c>
      <c r="B250" s="633">
        <v>1.0200000000000001E-2</v>
      </c>
      <c r="C250" s="633">
        <v>9.7000000000000003E-3</v>
      </c>
      <c r="D250" s="951"/>
      <c r="E250" s="951"/>
      <c r="F250" s="951"/>
      <c r="G250" s="633">
        <v>1.0200000000000001E-2</v>
      </c>
      <c r="H250" s="951"/>
      <c r="I250" s="633">
        <v>8.0000000000000002E-3</v>
      </c>
      <c r="J250" s="951"/>
      <c r="K250" s="635">
        <v>8.9999999999999993E-3</v>
      </c>
    </row>
    <row r="251" spans="1:11" ht="13" thickBot="1" x14ac:dyDescent="0.3">
      <c r="A251" s="950"/>
      <c r="B251" s="628">
        <v>0.25900000000000001</v>
      </c>
      <c r="C251" s="628">
        <v>0.246</v>
      </c>
      <c r="D251" s="952"/>
      <c r="E251" s="952"/>
      <c r="F251" s="952"/>
      <c r="G251" s="628">
        <v>0.25900000000000001</v>
      </c>
      <c r="H251" s="952"/>
      <c r="I251" s="628">
        <v>0.20300000000000001</v>
      </c>
      <c r="J251" s="952"/>
      <c r="K251" s="629">
        <v>0.22900000000000001</v>
      </c>
    </row>
    <row r="252" spans="1:11" x14ac:dyDescent="0.25">
      <c r="A252" s="955">
        <v>31</v>
      </c>
      <c r="B252" s="633">
        <v>1.09E-2</v>
      </c>
      <c r="C252" s="633">
        <v>1.0500000000000001E-2</v>
      </c>
      <c r="D252" s="951"/>
      <c r="E252" s="951"/>
      <c r="F252" s="951"/>
      <c r="G252" s="633">
        <v>1.09E-2</v>
      </c>
      <c r="H252" s="951"/>
      <c r="I252" s="633">
        <v>8.8999999999999999E-3</v>
      </c>
      <c r="J252" s="951"/>
      <c r="K252" s="635">
        <v>0.01</v>
      </c>
    </row>
    <row r="253" spans="1:11" ht="13" thickBot="1" x14ac:dyDescent="0.3">
      <c r="A253" s="950"/>
      <c r="B253" s="628">
        <v>0.27700000000000002</v>
      </c>
      <c r="C253" s="628">
        <v>0.26700000000000002</v>
      </c>
      <c r="D253" s="952"/>
      <c r="E253" s="952"/>
      <c r="F253" s="952"/>
      <c r="G253" s="628">
        <v>0.27700000000000002</v>
      </c>
      <c r="H253" s="952"/>
      <c r="I253" s="628">
        <v>0.22600000000000001</v>
      </c>
      <c r="J253" s="952"/>
      <c r="K253" s="629">
        <v>0.254</v>
      </c>
    </row>
    <row r="254" spans="1:11" x14ac:dyDescent="0.25">
      <c r="A254" s="955">
        <v>30</v>
      </c>
      <c r="B254" s="633">
        <v>1.2500000000000001E-2</v>
      </c>
      <c r="C254" s="633">
        <v>1.2E-2</v>
      </c>
      <c r="D254" s="633">
        <v>0.5</v>
      </c>
      <c r="E254" s="633">
        <v>1.6E-2</v>
      </c>
      <c r="F254" s="633">
        <v>0.65600000000000003</v>
      </c>
      <c r="G254" s="633">
        <v>1.2500000000000001E-2</v>
      </c>
      <c r="H254" s="951"/>
      <c r="I254" s="633">
        <v>0.01</v>
      </c>
      <c r="J254" s="633">
        <v>0.14099999999999999</v>
      </c>
      <c r="K254" s="635">
        <v>1.2E-2</v>
      </c>
    </row>
    <row r="255" spans="1:11" ht="13" thickBot="1" x14ac:dyDescent="0.3">
      <c r="A255" s="950"/>
      <c r="B255" s="628">
        <v>0.318</v>
      </c>
      <c r="C255" s="628">
        <v>0.30499999999999999</v>
      </c>
      <c r="D255" s="628">
        <v>2.42</v>
      </c>
      <c r="E255" s="628">
        <v>0.40600000000000003</v>
      </c>
      <c r="F255" s="628">
        <v>3.18</v>
      </c>
      <c r="G255" s="628">
        <v>0.318</v>
      </c>
      <c r="H255" s="952"/>
      <c r="I255" s="628">
        <v>0.254</v>
      </c>
      <c r="J255" s="628">
        <v>0.68300000000000005</v>
      </c>
      <c r="K255" s="629">
        <v>0.30499999999999999</v>
      </c>
    </row>
    <row r="256" spans="1:11" x14ac:dyDescent="0.25">
      <c r="A256" s="955">
        <v>29</v>
      </c>
      <c r="B256" s="633">
        <v>1.41E-2</v>
      </c>
      <c r="C256" s="633">
        <v>1.35E-2</v>
      </c>
      <c r="D256" s="633">
        <v>0.56299999999999994</v>
      </c>
      <c r="E256" s="633">
        <v>1.7000000000000001E-2</v>
      </c>
      <c r="F256" s="633">
        <v>0.71899999999999997</v>
      </c>
      <c r="G256" s="633">
        <v>1.41E-2</v>
      </c>
      <c r="H256" s="951"/>
      <c r="I256" s="633">
        <v>1.1299999999999999E-2</v>
      </c>
      <c r="J256" s="633">
        <v>0.16</v>
      </c>
      <c r="K256" s="635">
        <v>1.2999999999999999E-2</v>
      </c>
    </row>
    <row r="257" spans="1:11" ht="13" thickBot="1" x14ac:dyDescent="0.3">
      <c r="A257" s="950"/>
      <c r="B257" s="628">
        <v>0.35799999999999998</v>
      </c>
      <c r="C257" s="628">
        <v>0.34300000000000003</v>
      </c>
      <c r="D257" s="628">
        <v>2.73</v>
      </c>
      <c r="E257" s="628">
        <v>0.432</v>
      </c>
      <c r="F257" s="628">
        <v>3.48</v>
      </c>
      <c r="G257" s="628">
        <v>0.35799999999999998</v>
      </c>
      <c r="H257" s="952"/>
      <c r="I257" s="628">
        <v>0.28699999999999998</v>
      </c>
      <c r="J257" s="628">
        <v>0.77500000000000002</v>
      </c>
      <c r="K257" s="629">
        <v>0.33</v>
      </c>
    </row>
    <row r="258" spans="1:11" x14ac:dyDescent="0.25">
      <c r="A258" s="955">
        <v>28</v>
      </c>
      <c r="B258" s="633">
        <v>1.5599999999999999E-2</v>
      </c>
      <c r="C258" s="633">
        <v>1.49E-2</v>
      </c>
      <c r="D258" s="633">
        <v>0.625</v>
      </c>
      <c r="E258" s="633">
        <v>1.9E-2</v>
      </c>
      <c r="F258" s="633">
        <v>0.78100000000000003</v>
      </c>
      <c r="G258" s="633">
        <v>1.5599999999999999E-2</v>
      </c>
      <c r="H258" s="951"/>
      <c r="I258" s="633">
        <v>1.26E-2</v>
      </c>
      <c r="J258" s="633">
        <v>0.17799999999999999</v>
      </c>
      <c r="K258" s="635">
        <v>1.4E-2</v>
      </c>
    </row>
    <row r="259" spans="1:11" ht="13" thickBot="1" x14ac:dyDescent="0.3">
      <c r="A259" s="950"/>
      <c r="B259" s="628">
        <v>0.39600000000000002</v>
      </c>
      <c r="C259" s="628">
        <v>0.378</v>
      </c>
      <c r="D259" s="628">
        <v>3.03</v>
      </c>
      <c r="E259" s="628">
        <v>0.48299999999999998</v>
      </c>
      <c r="F259" s="628">
        <v>3.78</v>
      </c>
      <c r="G259" s="628">
        <v>0.39600000000000002</v>
      </c>
      <c r="H259" s="952"/>
      <c r="I259" s="628">
        <v>0.32</v>
      </c>
      <c r="J259" s="628">
        <v>0.86199999999999999</v>
      </c>
      <c r="K259" s="629">
        <v>0.35599999999999998</v>
      </c>
    </row>
    <row r="260" spans="1:11" x14ac:dyDescent="0.25">
      <c r="A260" s="955">
        <v>27</v>
      </c>
      <c r="B260" s="633">
        <v>1.72E-2</v>
      </c>
      <c r="C260" s="633">
        <v>1.6400000000000001E-2</v>
      </c>
      <c r="D260" s="633">
        <v>0.68799999999999994</v>
      </c>
      <c r="E260" s="633">
        <v>0.02</v>
      </c>
      <c r="F260" s="633">
        <v>0.84399999999999997</v>
      </c>
      <c r="G260" s="633">
        <v>1.72E-2</v>
      </c>
      <c r="H260" s="951"/>
      <c r="I260" s="633">
        <v>1.4200000000000001E-2</v>
      </c>
      <c r="J260" s="633">
        <v>0.2</v>
      </c>
      <c r="K260" s="635">
        <v>1.6E-2</v>
      </c>
    </row>
    <row r="261" spans="1:11" ht="13" thickBot="1" x14ac:dyDescent="0.3">
      <c r="A261" s="950"/>
      <c r="B261" s="628">
        <v>0.437</v>
      </c>
      <c r="C261" s="628">
        <v>0.41699999999999998</v>
      </c>
      <c r="D261" s="628">
        <v>3.33</v>
      </c>
      <c r="E261" s="628">
        <v>0.50800000000000001</v>
      </c>
      <c r="F261" s="628">
        <v>4.09</v>
      </c>
      <c r="G261" s="628">
        <v>0.437</v>
      </c>
      <c r="H261" s="952"/>
      <c r="I261" s="628">
        <v>0.36099999999999999</v>
      </c>
      <c r="J261" s="628">
        <v>0.96899999999999997</v>
      </c>
      <c r="K261" s="629">
        <v>0.40600000000000003</v>
      </c>
    </row>
    <row r="262" spans="1:11" x14ac:dyDescent="0.25">
      <c r="A262" s="955">
        <v>26</v>
      </c>
      <c r="B262" s="633">
        <v>1.8800000000000001E-2</v>
      </c>
      <c r="C262" s="633">
        <v>1.7899999999999999E-2</v>
      </c>
      <c r="D262" s="633">
        <v>0.75</v>
      </c>
      <c r="E262" s="633">
        <v>2.1999999999999999E-2</v>
      </c>
      <c r="F262" s="633">
        <v>0.90600000000000003</v>
      </c>
      <c r="G262" s="633">
        <v>1.8700000000000001E-2</v>
      </c>
      <c r="H262" s="633">
        <v>0.75600000000000001</v>
      </c>
      <c r="I262" s="633">
        <v>1.5900000000000001E-2</v>
      </c>
      <c r="J262" s="633">
        <v>0.224</v>
      </c>
      <c r="K262" s="635">
        <v>1.7999999999999999E-2</v>
      </c>
    </row>
    <row r="263" spans="1:11" ht="13" thickBot="1" x14ac:dyDescent="0.3">
      <c r="A263" s="950"/>
      <c r="B263" s="628">
        <v>0.47799999999999998</v>
      </c>
      <c r="C263" s="628">
        <v>0.45500000000000002</v>
      </c>
      <c r="D263" s="628">
        <v>3.63</v>
      </c>
      <c r="E263" s="628">
        <v>0.55900000000000005</v>
      </c>
      <c r="F263" s="628">
        <v>4.3899999999999997</v>
      </c>
      <c r="G263" s="628">
        <v>0.47499999999999998</v>
      </c>
      <c r="H263" s="628">
        <v>3.66</v>
      </c>
      <c r="I263" s="628">
        <v>0.40400000000000003</v>
      </c>
      <c r="J263" s="628">
        <v>1.0900000000000001</v>
      </c>
      <c r="K263" s="629">
        <v>0.45700000000000002</v>
      </c>
    </row>
    <row r="264" spans="1:11" x14ac:dyDescent="0.25">
      <c r="A264" s="955">
        <v>25</v>
      </c>
      <c r="B264" s="633">
        <v>2.1899999999999999E-2</v>
      </c>
      <c r="C264" s="633">
        <v>2.0899999999999998E-2</v>
      </c>
      <c r="D264" s="633">
        <v>0.875</v>
      </c>
      <c r="E264" s="633">
        <v>2.5000000000000001E-2</v>
      </c>
      <c r="F264" s="633">
        <v>1.0309999999999999</v>
      </c>
      <c r="G264" s="633">
        <v>2.1899999999999999E-2</v>
      </c>
      <c r="H264" s="951"/>
      <c r="I264" s="633">
        <v>1.7899999999999999E-2</v>
      </c>
      <c r="J264" s="633">
        <v>0.253</v>
      </c>
      <c r="K264" s="635">
        <v>0.02</v>
      </c>
    </row>
    <row r="265" spans="1:11" ht="13" thickBot="1" x14ac:dyDescent="0.3">
      <c r="A265" s="950"/>
      <c r="B265" s="628">
        <v>0.55600000000000005</v>
      </c>
      <c r="C265" s="628">
        <v>0.53100000000000003</v>
      </c>
      <c r="D265" s="628">
        <v>4.24</v>
      </c>
      <c r="E265" s="628">
        <v>0.63500000000000001</v>
      </c>
      <c r="F265" s="628">
        <v>4.99</v>
      </c>
      <c r="G265" s="628">
        <v>0.55600000000000005</v>
      </c>
      <c r="H265" s="952"/>
      <c r="I265" s="628">
        <v>0.45500000000000002</v>
      </c>
      <c r="J265" s="628">
        <v>1.23</v>
      </c>
      <c r="K265" s="629">
        <v>0.50800000000000001</v>
      </c>
    </row>
    <row r="266" spans="1:11" x14ac:dyDescent="0.25">
      <c r="A266" s="955">
        <v>24</v>
      </c>
      <c r="B266" s="633">
        <v>2.5000000000000001E-2</v>
      </c>
      <c r="C266" s="633">
        <v>2.3900000000000001E-2</v>
      </c>
      <c r="D266" s="633">
        <v>1</v>
      </c>
      <c r="E266" s="633">
        <v>2.8000000000000001E-2</v>
      </c>
      <c r="F266" s="633">
        <v>1.1559999999999999</v>
      </c>
      <c r="G266" s="633">
        <v>2.5000000000000001E-2</v>
      </c>
      <c r="H266" s="633">
        <v>1.008</v>
      </c>
      <c r="I266" s="633">
        <v>2.01E-2</v>
      </c>
      <c r="J266" s="633">
        <v>0.28399999999999997</v>
      </c>
      <c r="K266" s="635">
        <v>2.1999999999999999E-2</v>
      </c>
    </row>
    <row r="267" spans="1:11" ht="13" thickBot="1" x14ac:dyDescent="0.3">
      <c r="A267" s="950"/>
      <c r="B267" s="628">
        <v>0.63500000000000001</v>
      </c>
      <c r="C267" s="628">
        <v>0.60699999999999998</v>
      </c>
      <c r="D267" s="628">
        <v>4.84</v>
      </c>
      <c r="E267" s="628">
        <v>0.71099999999999997</v>
      </c>
      <c r="F267" s="628">
        <v>5.6</v>
      </c>
      <c r="G267" s="628">
        <v>0.63500000000000001</v>
      </c>
      <c r="H267" s="628">
        <v>4.88</v>
      </c>
      <c r="I267" s="628">
        <v>0.51100000000000001</v>
      </c>
      <c r="J267" s="628">
        <v>1.38</v>
      </c>
      <c r="K267" s="629">
        <v>0.55900000000000005</v>
      </c>
    </row>
    <row r="268" spans="1:11" x14ac:dyDescent="0.25">
      <c r="A268" s="955">
        <v>23</v>
      </c>
      <c r="B268" s="633">
        <v>2.81E-2</v>
      </c>
      <c r="C268" s="633">
        <v>2.69E-2</v>
      </c>
      <c r="D268" s="633">
        <v>1.125</v>
      </c>
      <c r="E268" s="633">
        <v>3.1E-2</v>
      </c>
      <c r="F268" s="633">
        <v>1.2809999999999999</v>
      </c>
      <c r="G268" s="633">
        <v>2.81E-2</v>
      </c>
      <c r="H268" s="951"/>
      <c r="I268" s="633">
        <v>2.2599999999999999E-2</v>
      </c>
      <c r="J268" s="633">
        <v>0.31900000000000001</v>
      </c>
      <c r="K268" s="635">
        <v>2.5000000000000001E-2</v>
      </c>
    </row>
    <row r="269" spans="1:11" ht="13" thickBot="1" x14ac:dyDescent="0.3">
      <c r="A269" s="950"/>
      <c r="B269" s="628">
        <v>0.71399999999999997</v>
      </c>
      <c r="C269" s="628">
        <v>0.68300000000000005</v>
      </c>
      <c r="D269" s="628">
        <v>5.45</v>
      </c>
      <c r="E269" s="628">
        <v>0.78700000000000003</v>
      </c>
      <c r="F269" s="628">
        <v>6.21</v>
      </c>
      <c r="G269" s="628">
        <v>0.71399999999999997</v>
      </c>
      <c r="H269" s="952"/>
      <c r="I269" s="628">
        <v>0.57399999999999995</v>
      </c>
      <c r="J269" s="628">
        <v>1.55</v>
      </c>
      <c r="K269" s="629">
        <v>0.63500000000000001</v>
      </c>
    </row>
    <row r="270" spans="1:11" x14ac:dyDescent="0.25">
      <c r="A270" s="955">
        <v>22</v>
      </c>
      <c r="B270" s="633">
        <v>3.1300000000000001E-2</v>
      </c>
      <c r="C270" s="633">
        <v>2.9899999999999999E-2</v>
      </c>
      <c r="D270" s="633">
        <v>1.25</v>
      </c>
      <c r="E270" s="633">
        <v>3.4000000000000002E-2</v>
      </c>
      <c r="F270" s="633">
        <v>1.4059999999999999</v>
      </c>
      <c r="G270" s="633">
        <v>3.1199999999999999E-2</v>
      </c>
      <c r="H270" s="633">
        <v>1.26</v>
      </c>
      <c r="I270" s="633">
        <v>2.53E-2</v>
      </c>
      <c r="J270" s="633">
        <v>0.35699999999999998</v>
      </c>
      <c r="K270" s="635">
        <v>2.8000000000000001E-2</v>
      </c>
    </row>
    <row r="271" spans="1:11" ht="13" thickBot="1" x14ac:dyDescent="0.3">
      <c r="A271" s="950"/>
      <c r="B271" s="628">
        <v>0.79500000000000004</v>
      </c>
      <c r="C271" s="628">
        <v>0.75900000000000001</v>
      </c>
      <c r="D271" s="628">
        <v>6.05</v>
      </c>
      <c r="E271" s="628">
        <v>0.86399999999999999</v>
      </c>
      <c r="F271" s="628">
        <v>6.81</v>
      </c>
      <c r="G271" s="628">
        <v>0.79200000000000004</v>
      </c>
      <c r="H271" s="628">
        <v>6.1</v>
      </c>
      <c r="I271" s="628">
        <v>0.64300000000000002</v>
      </c>
      <c r="J271" s="628">
        <v>1.73</v>
      </c>
      <c r="K271" s="629">
        <v>0.71099999999999997</v>
      </c>
    </row>
    <row r="272" spans="1:11" x14ac:dyDescent="0.25">
      <c r="A272" s="955">
        <v>21</v>
      </c>
      <c r="B272" s="633">
        <v>3.44E-2</v>
      </c>
      <c r="C272" s="633">
        <v>3.2899999999999999E-2</v>
      </c>
      <c r="D272" s="633">
        <v>1.375</v>
      </c>
      <c r="E272" s="633">
        <v>3.6999999999999998E-2</v>
      </c>
      <c r="F272" s="633">
        <v>1.5309999999999999</v>
      </c>
      <c r="G272" s="633">
        <v>3.44E-2</v>
      </c>
      <c r="H272" s="951"/>
      <c r="I272" s="633">
        <v>2.8500000000000001E-2</v>
      </c>
      <c r="J272" s="633">
        <v>0.40200000000000002</v>
      </c>
      <c r="K272" s="635">
        <v>3.2000000000000001E-2</v>
      </c>
    </row>
    <row r="273" spans="1:11" ht="13" thickBot="1" x14ac:dyDescent="0.3">
      <c r="A273" s="950"/>
      <c r="B273" s="628">
        <v>0.874</v>
      </c>
      <c r="C273" s="628">
        <v>0.83599999999999997</v>
      </c>
      <c r="D273" s="628">
        <v>6.66</v>
      </c>
      <c r="E273" s="628">
        <v>0.94</v>
      </c>
      <c r="F273" s="628">
        <v>7.42</v>
      </c>
      <c r="G273" s="628">
        <v>0.874</v>
      </c>
      <c r="H273" s="952"/>
      <c r="I273" s="628">
        <v>0.72399999999999998</v>
      </c>
      <c r="J273" s="628">
        <v>1.95</v>
      </c>
      <c r="K273" s="629">
        <v>0.81299999999999994</v>
      </c>
    </row>
    <row r="274" spans="1:11" x14ac:dyDescent="0.25">
      <c r="A274" s="955">
        <v>20</v>
      </c>
      <c r="B274" s="633">
        <v>3.7499999999999999E-2</v>
      </c>
      <c r="C274" s="633">
        <v>3.5900000000000001E-2</v>
      </c>
      <c r="D274" s="633">
        <v>1.5</v>
      </c>
      <c r="E274" s="633">
        <v>0.04</v>
      </c>
      <c r="F274" s="633">
        <v>1.6559999999999999</v>
      </c>
      <c r="G274" s="633">
        <v>3.7499999999999999E-2</v>
      </c>
      <c r="H274" s="633">
        <v>1.512</v>
      </c>
      <c r="I274" s="633">
        <v>3.2000000000000001E-2</v>
      </c>
      <c r="J274" s="633">
        <v>0.45200000000000001</v>
      </c>
      <c r="K274" s="635">
        <v>3.5000000000000003E-2</v>
      </c>
    </row>
    <row r="275" spans="1:11" ht="13" thickBot="1" x14ac:dyDescent="0.3">
      <c r="A275" s="950"/>
      <c r="B275" s="628">
        <v>0.95199999999999996</v>
      </c>
      <c r="C275" s="628">
        <v>0.91200000000000003</v>
      </c>
      <c r="D275" s="628">
        <v>7.27</v>
      </c>
      <c r="E275" s="628">
        <v>1.02</v>
      </c>
      <c r="F275" s="628">
        <v>8.02</v>
      </c>
      <c r="G275" s="628">
        <v>0.95199999999999996</v>
      </c>
      <c r="H275" s="628">
        <v>7.32</v>
      </c>
      <c r="I275" s="628">
        <v>0.81299999999999994</v>
      </c>
      <c r="J275" s="628">
        <v>2.19</v>
      </c>
      <c r="K275" s="629">
        <v>0.88900000000000001</v>
      </c>
    </row>
    <row r="276" spans="1:11" x14ac:dyDescent="0.25">
      <c r="A276" s="955">
        <v>19</v>
      </c>
      <c r="B276" s="633">
        <v>4.3799999999999999E-2</v>
      </c>
      <c r="C276" s="633">
        <v>4.1799999999999997E-2</v>
      </c>
      <c r="D276" s="633">
        <v>1.75</v>
      </c>
      <c r="E276" s="633">
        <v>4.5999999999999999E-2</v>
      </c>
      <c r="F276" s="633">
        <v>1.9059999999999999</v>
      </c>
      <c r="G276" s="633">
        <v>4.3700000000000003E-2</v>
      </c>
      <c r="H276" s="951"/>
      <c r="I276" s="633">
        <v>3.5900000000000001E-2</v>
      </c>
      <c r="J276" s="633">
        <v>0.50700000000000001</v>
      </c>
      <c r="K276" s="635">
        <v>4.2000000000000003E-2</v>
      </c>
    </row>
    <row r="277" spans="1:11" ht="13" thickBot="1" x14ac:dyDescent="0.3">
      <c r="A277" s="950"/>
      <c r="B277" s="628">
        <v>1.1100000000000001</v>
      </c>
      <c r="C277" s="628">
        <v>1.06</v>
      </c>
      <c r="D277" s="628">
        <v>8.48</v>
      </c>
      <c r="E277" s="628">
        <v>1.17</v>
      </c>
      <c r="F277" s="628">
        <v>9.23</v>
      </c>
      <c r="G277" s="628">
        <v>1.1100000000000001</v>
      </c>
      <c r="H277" s="952"/>
      <c r="I277" s="628">
        <v>0.91200000000000003</v>
      </c>
      <c r="J277" s="628">
        <v>2.46</v>
      </c>
      <c r="K277" s="629">
        <v>1.07</v>
      </c>
    </row>
    <row r="278" spans="1:11" x14ac:dyDescent="0.25">
      <c r="A278" s="955">
        <v>18</v>
      </c>
      <c r="B278" s="633">
        <v>0.05</v>
      </c>
      <c r="C278" s="633">
        <v>4.7800000000000002E-2</v>
      </c>
      <c r="D278" s="633">
        <v>2</v>
      </c>
      <c r="E278" s="633">
        <v>5.1999999999999998E-2</v>
      </c>
      <c r="F278" s="633">
        <v>2.1560000000000001</v>
      </c>
      <c r="G278" s="633">
        <v>0.05</v>
      </c>
      <c r="H278" s="633">
        <v>2.016</v>
      </c>
      <c r="I278" s="633">
        <v>4.0300000000000002E-2</v>
      </c>
      <c r="J278" s="633">
        <v>0.56899999999999995</v>
      </c>
      <c r="K278" s="635">
        <v>4.9000000000000002E-2</v>
      </c>
    </row>
    <row r="279" spans="1:11" ht="13" thickBot="1" x14ac:dyDescent="0.3">
      <c r="A279" s="950"/>
      <c r="B279" s="628">
        <v>1.27</v>
      </c>
      <c r="C279" s="628">
        <v>1.21</v>
      </c>
      <c r="D279" s="628">
        <v>9.69</v>
      </c>
      <c r="E279" s="628">
        <v>1.32</v>
      </c>
      <c r="F279" s="628">
        <v>10.4</v>
      </c>
      <c r="G279" s="628">
        <v>1.27</v>
      </c>
      <c r="H279" s="628">
        <v>9.77</v>
      </c>
      <c r="I279" s="628">
        <v>1.02</v>
      </c>
      <c r="J279" s="628">
        <v>2.76</v>
      </c>
      <c r="K279" s="629">
        <v>1.24</v>
      </c>
    </row>
    <row r="280" spans="1:11" x14ac:dyDescent="0.25">
      <c r="A280" s="955">
        <v>17</v>
      </c>
      <c r="B280" s="633">
        <v>5.6300000000000003E-2</v>
      </c>
      <c r="C280" s="633">
        <v>5.3800000000000001E-2</v>
      </c>
      <c r="D280" s="633">
        <v>2.25</v>
      </c>
      <c r="E280" s="633">
        <v>5.8000000000000003E-2</v>
      </c>
      <c r="F280" s="633">
        <v>2.4060000000000001</v>
      </c>
      <c r="G280" s="633">
        <v>5.62E-2</v>
      </c>
      <c r="H280" s="951"/>
      <c r="I280" s="633">
        <v>4.53E-2</v>
      </c>
      <c r="J280" s="633">
        <v>0.63900000000000001</v>
      </c>
      <c r="K280" s="635">
        <v>5.8000000000000003E-2</v>
      </c>
    </row>
    <row r="281" spans="1:11" ht="13" thickBot="1" x14ac:dyDescent="0.3">
      <c r="A281" s="950"/>
      <c r="B281" s="628">
        <v>1.43</v>
      </c>
      <c r="C281" s="628">
        <v>1.37</v>
      </c>
      <c r="D281" s="628">
        <v>10.9</v>
      </c>
      <c r="E281" s="628">
        <v>1.47</v>
      </c>
      <c r="F281" s="628">
        <v>11.7</v>
      </c>
      <c r="G281" s="628">
        <v>1.43</v>
      </c>
      <c r="H281" s="952"/>
      <c r="I281" s="628">
        <v>1.1499999999999999</v>
      </c>
      <c r="J281" s="628">
        <v>3.1</v>
      </c>
      <c r="K281" s="629">
        <v>1.47</v>
      </c>
    </row>
    <row r="282" spans="1:11" x14ac:dyDescent="0.25">
      <c r="A282" s="955">
        <v>16</v>
      </c>
      <c r="B282" s="633">
        <v>6.25E-2</v>
      </c>
      <c r="C282" s="633">
        <v>5.9799999999999999E-2</v>
      </c>
      <c r="D282" s="633">
        <v>2.5</v>
      </c>
      <c r="E282" s="633">
        <v>6.4000000000000001E-2</v>
      </c>
      <c r="F282" s="633">
        <v>2.6560000000000001</v>
      </c>
      <c r="G282" s="633">
        <v>6.25E-2</v>
      </c>
      <c r="H282" s="633">
        <v>2.52</v>
      </c>
      <c r="I282" s="633">
        <v>5.0799999999999998E-2</v>
      </c>
      <c r="J282" s="633">
        <v>0.71699999999999997</v>
      </c>
      <c r="K282" s="635">
        <v>6.5000000000000002E-2</v>
      </c>
    </row>
    <row r="283" spans="1:11" ht="13" thickBot="1" x14ac:dyDescent="0.3">
      <c r="A283" s="950"/>
      <c r="B283" s="628">
        <v>1.59</v>
      </c>
      <c r="C283" s="628">
        <v>1.52</v>
      </c>
      <c r="D283" s="628">
        <v>12.1</v>
      </c>
      <c r="E283" s="628">
        <v>1.63</v>
      </c>
      <c r="F283" s="628">
        <v>12.9</v>
      </c>
      <c r="G283" s="628">
        <v>1.59</v>
      </c>
      <c r="H283" s="628">
        <v>12.2</v>
      </c>
      <c r="I283" s="628">
        <v>1.29</v>
      </c>
      <c r="J283" s="628">
        <v>3.47</v>
      </c>
      <c r="K283" s="629">
        <v>1.65</v>
      </c>
    </row>
    <row r="284" spans="1:11" x14ac:dyDescent="0.25">
      <c r="A284" s="955">
        <v>15</v>
      </c>
      <c r="B284" s="633">
        <v>7.0300000000000001E-2</v>
      </c>
      <c r="C284" s="633">
        <v>6.7299999999999999E-2</v>
      </c>
      <c r="D284" s="633">
        <v>2.8130000000000002</v>
      </c>
      <c r="E284" s="633">
        <v>7.0999999999999994E-2</v>
      </c>
      <c r="F284" s="633">
        <v>2.9689999999999999</v>
      </c>
      <c r="G284" s="633">
        <v>7.0300000000000001E-2</v>
      </c>
      <c r="H284" s="951"/>
      <c r="I284" s="633">
        <v>5.7099999999999998E-2</v>
      </c>
      <c r="J284" s="633">
        <v>0.80600000000000005</v>
      </c>
      <c r="K284" s="635">
        <v>7.1999999999999995E-2</v>
      </c>
    </row>
    <row r="285" spans="1:11" ht="13" thickBot="1" x14ac:dyDescent="0.3">
      <c r="A285" s="950"/>
      <c r="B285" s="628">
        <v>1.79</v>
      </c>
      <c r="C285" s="628">
        <v>1.71</v>
      </c>
      <c r="D285" s="628">
        <v>13.6</v>
      </c>
      <c r="E285" s="628">
        <v>1.8</v>
      </c>
      <c r="F285" s="628">
        <v>14.4</v>
      </c>
      <c r="G285" s="628">
        <v>1.79</v>
      </c>
      <c r="H285" s="952"/>
      <c r="I285" s="628">
        <v>1.45</v>
      </c>
      <c r="J285" s="628">
        <v>3.9</v>
      </c>
      <c r="K285" s="629">
        <v>1.83</v>
      </c>
    </row>
    <row r="286" spans="1:11" x14ac:dyDescent="0.25">
      <c r="A286" s="955">
        <v>14</v>
      </c>
      <c r="B286" s="633">
        <v>7.8100000000000003E-2</v>
      </c>
      <c r="C286" s="633">
        <v>7.4700000000000003E-2</v>
      </c>
      <c r="D286" s="633">
        <v>3.125</v>
      </c>
      <c r="E286" s="633">
        <v>7.9000000000000001E-2</v>
      </c>
      <c r="F286" s="633">
        <v>3.2810000000000001</v>
      </c>
      <c r="G286" s="633">
        <v>7.8100000000000003E-2</v>
      </c>
      <c r="H286" s="633">
        <v>3.15</v>
      </c>
      <c r="I286" s="633">
        <v>6.4100000000000004E-2</v>
      </c>
      <c r="J286" s="633">
        <v>0.90500000000000003</v>
      </c>
      <c r="K286" s="635">
        <v>8.3000000000000004E-2</v>
      </c>
    </row>
    <row r="287" spans="1:11" ht="13" thickBot="1" x14ac:dyDescent="0.3">
      <c r="A287" s="950"/>
      <c r="B287" s="628">
        <v>1.98</v>
      </c>
      <c r="C287" s="628">
        <v>1.9</v>
      </c>
      <c r="D287" s="628">
        <v>15.1</v>
      </c>
      <c r="E287" s="628">
        <v>2.0099999999999998</v>
      </c>
      <c r="F287" s="628">
        <v>15.9</v>
      </c>
      <c r="G287" s="628">
        <v>1.98</v>
      </c>
      <c r="H287" s="628">
        <v>15.3</v>
      </c>
      <c r="I287" s="628">
        <v>1.63</v>
      </c>
      <c r="J287" s="628">
        <v>4.38</v>
      </c>
      <c r="K287" s="629">
        <v>2.11</v>
      </c>
    </row>
    <row r="288" spans="1:11" x14ac:dyDescent="0.25">
      <c r="A288" s="955">
        <v>13</v>
      </c>
      <c r="B288" s="633">
        <v>9.3799999999999994E-2</v>
      </c>
      <c r="C288" s="633">
        <v>8.9700000000000002E-2</v>
      </c>
      <c r="D288" s="633">
        <v>3.75</v>
      </c>
      <c r="E288" s="633">
        <v>9.2999999999999999E-2</v>
      </c>
      <c r="F288" s="633">
        <v>3.9060000000000001</v>
      </c>
      <c r="G288" s="633">
        <v>9.3700000000000006E-2</v>
      </c>
      <c r="H288" s="951"/>
      <c r="I288" s="633">
        <v>7.1999999999999995E-2</v>
      </c>
      <c r="J288" s="633">
        <v>1.016</v>
      </c>
      <c r="K288" s="635">
        <v>9.5000000000000001E-2</v>
      </c>
    </row>
    <row r="289" spans="1:11" ht="13" thickBot="1" x14ac:dyDescent="0.3">
      <c r="A289" s="950"/>
      <c r="B289" s="628">
        <v>2.38</v>
      </c>
      <c r="C289" s="628">
        <v>2.2799999999999998</v>
      </c>
      <c r="D289" s="628">
        <v>18.2</v>
      </c>
      <c r="E289" s="628">
        <v>2.36</v>
      </c>
      <c r="F289" s="628">
        <v>18.899999999999999</v>
      </c>
      <c r="G289" s="628">
        <v>2.38</v>
      </c>
      <c r="H289" s="952"/>
      <c r="I289" s="628">
        <v>1.83</v>
      </c>
      <c r="J289" s="628">
        <v>4.92</v>
      </c>
      <c r="K289" s="629">
        <v>2.41</v>
      </c>
    </row>
    <row r="290" spans="1:11" x14ac:dyDescent="0.25">
      <c r="A290" s="955">
        <v>12</v>
      </c>
      <c r="B290" s="633">
        <v>0.1094</v>
      </c>
      <c r="C290" s="633">
        <v>0.1046</v>
      </c>
      <c r="D290" s="633">
        <v>4.375</v>
      </c>
      <c r="E290" s="633">
        <v>0.108</v>
      </c>
      <c r="F290" s="633">
        <v>4.5309999999999997</v>
      </c>
      <c r="G290" s="633">
        <v>0.1094</v>
      </c>
      <c r="H290" s="633">
        <v>4.41</v>
      </c>
      <c r="I290" s="633">
        <v>8.0799999999999997E-2</v>
      </c>
      <c r="J290" s="633">
        <v>1.1399999999999999</v>
      </c>
      <c r="K290" s="635">
        <v>0.109</v>
      </c>
    </row>
    <row r="291" spans="1:11" ht="13" thickBot="1" x14ac:dyDescent="0.3">
      <c r="A291" s="950"/>
      <c r="B291" s="628">
        <v>2.78</v>
      </c>
      <c r="C291" s="628">
        <v>2.66</v>
      </c>
      <c r="D291" s="628">
        <v>21.2</v>
      </c>
      <c r="E291" s="628">
        <v>2.74</v>
      </c>
      <c r="F291" s="628">
        <v>21.9</v>
      </c>
      <c r="G291" s="628">
        <v>2.78</v>
      </c>
      <c r="H291" s="628">
        <v>21.4</v>
      </c>
      <c r="I291" s="628">
        <v>2.0499999999999998</v>
      </c>
      <c r="J291" s="628">
        <v>5.52</v>
      </c>
      <c r="K291" s="629">
        <v>2.77</v>
      </c>
    </row>
    <row r="292" spans="1:11" x14ac:dyDescent="0.25">
      <c r="A292" s="955">
        <v>11</v>
      </c>
      <c r="B292" s="633">
        <v>0.125</v>
      </c>
      <c r="C292" s="633">
        <v>0.1196</v>
      </c>
      <c r="D292" s="633">
        <v>5</v>
      </c>
      <c r="E292" s="633">
        <v>0.123</v>
      </c>
      <c r="F292" s="633">
        <v>5.1559999999999997</v>
      </c>
      <c r="G292" s="633">
        <v>0.125</v>
      </c>
      <c r="H292" s="633">
        <v>5.04</v>
      </c>
      <c r="I292" s="633">
        <v>9.0700000000000003E-2</v>
      </c>
      <c r="J292" s="633">
        <v>1.28</v>
      </c>
      <c r="K292" s="635">
        <v>0.12</v>
      </c>
    </row>
    <row r="293" spans="1:11" ht="13" thickBot="1" x14ac:dyDescent="0.3">
      <c r="A293" s="950"/>
      <c r="B293" s="628">
        <v>3.18</v>
      </c>
      <c r="C293" s="628">
        <v>3.04</v>
      </c>
      <c r="D293" s="628">
        <v>24.2</v>
      </c>
      <c r="E293" s="628">
        <v>3.12</v>
      </c>
      <c r="F293" s="628">
        <v>25</v>
      </c>
      <c r="G293" s="628">
        <v>3.18</v>
      </c>
      <c r="H293" s="628">
        <v>24.4</v>
      </c>
      <c r="I293" s="628">
        <v>2.2999999999999998</v>
      </c>
      <c r="J293" s="628">
        <v>6.2</v>
      </c>
      <c r="K293" s="629">
        <v>3.05</v>
      </c>
    </row>
    <row r="294" spans="1:11" x14ac:dyDescent="0.25">
      <c r="A294" s="955">
        <v>10</v>
      </c>
      <c r="B294" s="633">
        <v>0.1406</v>
      </c>
      <c r="C294" s="633">
        <v>0.13450000000000001</v>
      </c>
      <c r="D294" s="633">
        <v>5.625</v>
      </c>
      <c r="E294" s="633">
        <v>0.13800000000000001</v>
      </c>
      <c r="F294" s="633">
        <v>5.7809999999999997</v>
      </c>
      <c r="G294" s="633">
        <v>0.1406</v>
      </c>
      <c r="H294" s="633">
        <v>5.67</v>
      </c>
      <c r="I294" s="633">
        <v>0.1019</v>
      </c>
      <c r="J294" s="633">
        <v>1.4379999999999999</v>
      </c>
      <c r="K294" s="635">
        <v>0.13400000000000001</v>
      </c>
    </row>
    <row r="295" spans="1:11" ht="13" thickBot="1" x14ac:dyDescent="0.3">
      <c r="A295" s="950"/>
      <c r="B295" s="628">
        <v>3.57</v>
      </c>
      <c r="C295" s="628">
        <v>3.42</v>
      </c>
      <c r="D295" s="628">
        <v>27.2</v>
      </c>
      <c r="E295" s="628">
        <v>3.51</v>
      </c>
      <c r="F295" s="628">
        <v>28</v>
      </c>
      <c r="G295" s="628">
        <v>3.57</v>
      </c>
      <c r="H295" s="628">
        <v>27.5</v>
      </c>
      <c r="I295" s="628">
        <v>2.59</v>
      </c>
      <c r="J295" s="628">
        <v>6.97</v>
      </c>
      <c r="K295" s="629">
        <v>3.4</v>
      </c>
    </row>
    <row r="296" spans="1:11" x14ac:dyDescent="0.25">
      <c r="A296" s="955">
        <v>9</v>
      </c>
      <c r="B296" s="633">
        <v>0.15629999999999999</v>
      </c>
      <c r="C296" s="633">
        <v>0.14949999999999999</v>
      </c>
      <c r="D296" s="633">
        <v>6.25</v>
      </c>
      <c r="E296" s="633">
        <v>0.153</v>
      </c>
      <c r="F296" s="633">
        <v>6.4059999999999997</v>
      </c>
      <c r="G296" s="633">
        <v>0.15620000000000001</v>
      </c>
      <c r="H296" s="951"/>
      <c r="I296" s="633">
        <v>0.1144</v>
      </c>
      <c r="J296" s="633">
        <v>1.6140000000000001</v>
      </c>
      <c r="K296" s="635">
        <v>0.14799999999999999</v>
      </c>
    </row>
    <row r="297" spans="1:11" ht="13" thickBot="1" x14ac:dyDescent="0.3">
      <c r="A297" s="950"/>
      <c r="B297" s="628">
        <v>3.97</v>
      </c>
      <c r="C297" s="628">
        <v>3.8</v>
      </c>
      <c r="D297" s="628">
        <v>30.3</v>
      </c>
      <c r="E297" s="628">
        <v>3.89</v>
      </c>
      <c r="F297" s="628">
        <v>31</v>
      </c>
      <c r="G297" s="628">
        <v>3.97</v>
      </c>
      <c r="H297" s="952"/>
      <c r="I297" s="628">
        <v>2.91</v>
      </c>
      <c r="J297" s="628">
        <v>7.82</v>
      </c>
      <c r="K297" s="629">
        <v>3.76</v>
      </c>
    </row>
    <row r="298" spans="1:11" x14ac:dyDescent="0.25">
      <c r="A298" s="955">
        <v>8</v>
      </c>
      <c r="B298" s="633">
        <v>0.1719</v>
      </c>
      <c r="C298" s="633">
        <v>0.16439999999999999</v>
      </c>
      <c r="D298" s="633">
        <v>6.875</v>
      </c>
      <c r="E298" s="633">
        <v>0.16800000000000001</v>
      </c>
      <c r="F298" s="633">
        <v>7.0309999999999997</v>
      </c>
      <c r="G298" s="633">
        <v>0.1719</v>
      </c>
      <c r="H298" s="633">
        <v>6.93</v>
      </c>
      <c r="I298" s="633">
        <v>0.1285</v>
      </c>
      <c r="J298" s="633">
        <v>1.8129999999999999</v>
      </c>
      <c r="K298" s="635">
        <v>0.16500000000000001</v>
      </c>
    </row>
    <row r="299" spans="1:11" ht="13" thickBot="1" x14ac:dyDescent="0.3">
      <c r="A299" s="950"/>
      <c r="B299" s="628">
        <v>4.37</v>
      </c>
      <c r="C299" s="628">
        <v>4.18</v>
      </c>
      <c r="D299" s="628">
        <v>33.299999999999997</v>
      </c>
      <c r="E299" s="628">
        <v>4.2699999999999996</v>
      </c>
      <c r="F299" s="628">
        <v>34.1</v>
      </c>
      <c r="G299" s="628">
        <v>4.37</v>
      </c>
      <c r="H299" s="628">
        <v>33.6</v>
      </c>
      <c r="I299" s="628">
        <v>3.26</v>
      </c>
      <c r="J299" s="628">
        <v>8.7799999999999994</v>
      </c>
      <c r="K299" s="629">
        <v>4.1900000000000004</v>
      </c>
    </row>
    <row r="300" spans="1:11" x14ac:dyDescent="0.25">
      <c r="A300" s="955">
        <v>7</v>
      </c>
      <c r="B300" s="633">
        <v>0.1875</v>
      </c>
      <c r="C300" s="633">
        <v>0.17929999999999999</v>
      </c>
      <c r="D300" s="633">
        <v>7.5</v>
      </c>
      <c r="E300" s="951"/>
      <c r="F300" s="951"/>
      <c r="G300" s="633">
        <v>0.1875</v>
      </c>
      <c r="H300" s="633">
        <v>7.8710000000000004</v>
      </c>
      <c r="I300" s="633">
        <v>0.14430000000000001</v>
      </c>
      <c r="J300" s="633">
        <v>2.036</v>
      </c>
      <c r="K300" s="635">
        <v>0.18</v>
      </c>
    </row>
    <row r="301" spans="1:11" ht="13" thickBot="1" x14ac:dyDescent="0.3">
      <c r="A301" s="950"/>
      <c r="B301" s="628">
        <v>4.76</v>
      </c>
      <c r="C301" s="628">
        <v>4.55</v>
      </c>
      <c r="D301" s="628">
        <v>36.299999999999997</v>
      </c>
      <c r="E301" s="952"/>
      <c r="F301" s="952"/>
      <c r="G301" s="628">
        <v>4.76</v>
      </c>
      <c r="H301" s="628">
        <v>38.1</v>
      </c>
      <c r="I301" s="628">
        <v>3.67</v>
      </c>
      <c r="J301" s="628">
        <v>9.86</v>
      </c>
      <c r="K301" s="629">
        <v>4.57</v>
      </c>
    </row>
    <row r="302" spans="1:11" x14ac:dyDescent="0.25">
      <c r="A302" s="955">
        <v>6</v>
      </c>
      <c r="B302" s="633">
        <v>0.2031</v>
      </c>
      <c r="C302" s="633">
        <v>0.1943</v>
      </c>
      <c r="D302" s="633">
        <v>8.125</v>
      </c>
      <c r="E302" s="951"/>
      <c r="F302" s="951"/>
      <c r="G302" s="633">
        <v>0.2031</v>
      </c>
      <c r="H302" s="951"/>
      <c r="I302" s="633">
        <v>0.16200000000000001</v>
      </c>
      <c r="J302" s="633">
        <v>2.286</v>
      </c>
      <c r="K302" s="635">
        <v>0.20300000000000001</v>
      </c>
    </row>
    <row r="303" spans="1:11" ht="13" thickBot="1" x14ac:dyDescent="0.3">
      <c r="A303" s="950"/>
      <c r="B303" s="628">
        <v>5.16</v>
      </c>
      <c r="C303" s="628">
        <v>4.9400000000000004</v>
      </c>
      <c r="D303" s="628">
        <v>39.4</v>
      </c>
      <c r="E303" s="952"/>
      <c r="F303" s="952"/>
      <c r="G303" s="628">
        <v>5.16</v>
      </c>
      <c r="H303" s="952"/>
      <c r="I303" s="628">
        <v>4.1100000000000003</v>
      </c>
      <c r="J303" s="628">
        <v>11.1</v>
      </c>
      <c r="K303" s="629">
        <v>5.16</v>
      </c>
    </row>
    <row r="304" spans="1:11" x14ac:dyDescent="0.25">
      <c r="A304" s="955">
        <v>5</v>
      </c>
      <c r="B304" s="633">
        <v>0.21879999999999999</v>
      </c>
      <c r="C304" s="633">
        <v>0.2092</v>
      </c>
      <c r="D304" s="633">
        <v>8.75</v>
      </c>
      <c r="E304" s="951"/>
      <c r="F304" s="951"/>
      <c r="G304" s="633">
        <v>0.21870000000000001</v>
      </c>
      <c r="H304" s="951"/>
      <c r="I304" s="633">
        <v>0.18190000000000001</v>
      </c>
      <c r="J304" s="951"/>
      <c r="K304" s="635">
        <v>0.22</v>
      </c>
    </row>
    <row r="305" spans="1:11" ht="13" thickBot="1" x14ac:dyDescent="0.3">
      <c r="A305" s="950"/>
      <c r="B305" s="628">
        <v>5.56</v>
      </c>
      <c r="C305" s="628">
        <v>5.31</v>
      </c>
      <c r="D305" s="628">
        <v>42.4</v>
      </c>
      <c r="E305" s="952"/>
      <c r="F305" s="952"/>
      <c r="G305" s="628">
        <v>5.55</v>
      </c>
      <c r="H305" s="952"/>
      <c r="I305" s="628">
        <v>4.62</v>
      </c>
      <c r="J305" s="952"/>
      <c r="K305" s="629">
        <v>5.59</v>
      </c>
    </row>
    <row r="306" spans="1:11" x14ac:dyDescent="0.25">
      <c r="A306" s="955">
        <v>4</v>
      </c>
      <c r="B306" s="633">
        <v>0.2344</v>
      </c>
      <c r="C306" s="633">
        <v>0.22420000000000001</v>
      </c>
      <c r="D306" s="633">
        <v>9.375</v>
      </c>
      <c r="E306" s="951"/>
      <c r="F306" s="951"/>
      <c r="G306" s="633">
        <v>0.2344</v>
      </c>
      <c r="H306" s="951"/>
      <c r="I306" s="633">
        <v>0.20430000000000001</v>
      </c>
      <c r="J306" s="951"/>
      <c r="K306" s="635">
        <v>0.23799999999999999</v>
      </c>
    </row>
    <row r="307" spans="1:11" ht="13" thickBot="1" x14ac:dyDescent="0.3">
      <c r="A307" s="950"/>
      <c r="B307" s="628">
        <v>5.95</v>
      </c>
      <c r="C307" s="628">
        <v>5.69</v>
      </c>
      <c r="D307" s="628">
        <v>45.4</v>
      </c>
      <c r="E307" s="952"/>
      <c r="F307" s="952"/>
      <c r="G307" s="628">
        <v>5.95</v>
      </c>
      <c r="H307" s="952"/>
      <c r="I307" s="628">
        <v>5.19</v>
      </c>
      <c r="J307" s="952"/>
      <c r="K307" s="629">
        <v>6.05</v>
      </c>
    </row>
    <row r="308" spans="1:11" x14ac:dyDescent="0.25">
      <c r="A308" s="955">
        <v>3</v>
      </c>
      <c r="B308" s="633">
        <v>0.25</v>
      </c>
      <c r="C308" s="633">
        <v>0.23910000000000001</v>
      </c>
      <c r="D308" s="633">
        <v>10</v>
      </c>
      <c r="E308" s="951"/>
      <c r="F308" s="951"/>
      <c r="G308" s="633">
        <v>0.25</v>
      </c>
      <c r="H308" s="951"/>
      <c r="I308" s="633">
        <v>0.22939999999999999</v>
      </c>
      <c r="J308" s="951"/>
      <c r="K308" s="635">
        <v>0.25900000000000001</v>
      </c>
    </row>
    <row r="309" spans="1:11" ht="13" thickBot="1" x14ac:dyDescent="0.3">
      <c r="A309" s="950"/>
      <c r="B309" s="628">
        <v>6.35</v>
      </c>
      <c r="C309" s="628">
        <v>6.07</v>
      </c>
      <c r="D309" s="628">
        <v>48.4</v>
      </c>
      <c r="E309" s="952"/>
      <c r="F309" s="952"/>
      <c r="G309" s="628">
        <v>6.35</v>
      </c>
      <c r="H309" s="952"/>
      <c r="I309" s="628">
        <v>5.83</v>
      </c>
      <c r="J309" s="952"/>
      <c r="K309" s="629">
        <v>6.58</v>
      </c>
    </row>
    <row r="310" spans="1:11" x14ac:dyDescent="0.25">
      <c r="A310" s="955">
        <v>2</v>
      </c>
      <c r="B310" s="633">
        <v>0.2656</v>
      </c>
      <c r="C310" s="951"/>
      <c r="D310" s="951"/>
      <c r="E310" s="951"/>
      <c r="F310" s="951"/>
      <c r="G310" s="633">
        <v>0.2656</v>
      </c>
      <c r="H310" s="951"/>
      <c r="I310" s="633">
        <v>0.2576</v>
      </c>
      <c r="J310" s="951"/>
      <c r="K310" s="635">
        <v>0.28399999999999997</v>
      </c>
    </row>
    <row r="311" spans="1:11" ht="13" thickBot="1" x14ac:dyDescent="0.3">
      <c r="A311" s="950"/>
      <c r="B311" s="628">
        <v>6.75</v>
      </c>
      <c r="C311" s="952"/>
      <c r="D311" s="952"/>
      <c r="E311" s="952"/>
      <c r="F311" s="952"/>
      <c r="G311" s="628">
        <v>6.75</v>
      </c>
      <c r="H311" s="952"/>
      <c r="I311" s="628">
        <v>6.54</v>
      </c>
      <c r="J311" s="952"/>
      <c r="K311" s="629">
        <v>7.21</v>
      </c>
    </row>
    <row r="312" spans="1:11" x14ac:dyDescent="0.25">
      <c r="A312" s="955">
        <v>1</v>
      </c>
      <c r="B312" s="633">
        <v>0.28129999999999999</v>
      </c>
      <c r="C312" s="951"/>
      <c r="D312" s="951"/>
      <c r="E312" s="951"/>
      <c r="F312" s="951"/>
      <c r="G312" s="633">
        <v>0.28120000000000001</v>
      </c>
      <c r="H312" s="951"/>
      <c r="I312" s="633">
        <v>0.2893</v>
      </c>
      <c r="J312" s="951"/>
      <c r="K312" s="635">
        <v>0.3</v>
      </c>
    </row>
    <row r="313" spans="1:11" ht="13" thickBot="1" x14ac:dyDescent="0.3">
      <c r="A313" s="950"/>
      <c r="B313" s="628">
        <v>7.15</v>
      </c>
      <c r="C313" s="952"/>
      <c r="D313" s="952"/>
      <c r="E313" s="952"/>
      <c r="F313" s="952"/>
      <c r="G313" s="628">
        <v>7.14</v>
      </c>
      <c r="H313" s="952"/>
      <c r="I313" s="628">
        <v>7.35</v>
      </c>
      <c r="J313" s="952"/>
      <c r="K313" s="629">
        <v>7.62</v>
      </c>
    </row>
    <row r="314" spans="1:11" x14ac:dyDescent="0.25">
      <c r="A314" s="637" t="s">
        <v>809</v>
      </c>
      <c r="B314" s="633">
        <v>0.3125</v>
      </c>
      <c r="C314" s="951"/>
      <c r="D314" s="951"/>
      <c r="E314" s="951"/>
      <c r="F314" s="951"/>
      <c r="G314" s="633">
        <v>0.3125</v>
      </c>
      <c r="H314" s="951"/>
      <c r="I314" s="633">
        <v>0.32490000000000002</v>
      </c>
      <c r="J314" s="951"/>
      <c r="K314" s="635">
        <v>0.34</v>
      </c>
    </row>
    <row r="315" spans="1:11" ht="13" thickBot="1" x14ac:dyDescent="0.3">
      <c r="A315" s="638">
        <v>0</v>
      </c>
      <c r="B315" s="628">
        <v>7.94</v>
      </c>
      <c r="C315" s="952"/>
      <c r="D315" s="952"/>
      <c r="E315" s="952"/>
      <c r="F315" s="952"/>
      <c r="G315" s="628">
        <v>7.94</v>
      </c>
      <c r="H315" s="952"/>
      <c r="I315" s="628">
        <v>8.25</v>
      </c>
      <c r="J315" s="952"/>
      <c r="K315" s="629">
        <v>8.64</v>
      </c>
    </row>
    <row r="316" spans="1:11" x14ac:dyDescent="0.25">
      <c r="A316" s="637" t="s">
        <v>810</v>
      </c>
      <c r="B316" s="633">
        <v>0.34379999999999999</v>
      </c>
      <c r="C316" s="951"/>
      <c r="D316" s="951"/>
      <c r="E316" s="951"/>
      <c r="F316" s="951"/>
      <c r="G316" s="633">
        <v>0.34370000000000001</v>
      </c>
      <c r="H316" s="951"/>
      <c r="I316" s="633">
        <v>0.36480000000000001</v>
      </c>
      <c r="J316" s="951"/>
      <c r="K316" s="635">
        <v>0.38</v>
      </c>
    </row>
    <row r="317" spans="1:11" ht="13" thickBot="1" x14ac:dyDescent="0.3">
      <c r="A317" s="638">
        <v>0</v>
      </c>
      <c r="B317" s="628">
        <v>8.73</v>
      </c>
      <c r="C317" s="952"/>
      <c r="D317" s="952"/>
      <c r="E317" s="952"/>
      <c r="F317" s="952"/>
      <c r="G317" s="628">
        <v>8.73</v>
      </c>
      <c r="H317" s="952"/>
      <c r="I317" s="628">
        <v>9.27</v>
      </c>
      <c r="J317" s="952"/>
      <c r="K317" s="629">
        <v>9.65</v>
      </c>
    </row>
    <row r="318" spans="1:11" x14ac:dyDescent="0.25">
      <c r="A318" s="637" t="s">
        <v>811</v>
      </c>
      <c r="B318" s="633">
        <v>0.375</v>
      </c>
      <c r="C318" s="951"/>
      <c r="D318" s="951"/>
      <c r="E318" s="951"/>
      <c r="F318" s="951"/>
      <c r="G318" s="633">
        <v>0.375</v>
      </c>
      <c r="H318" s="951"/>
      <c r="I318" s="633">
        <v>0.40960000000000002</v>
      </c>
      <c r="J318" s="951"/>
      <c r="K318" s="635">
        <v>0.42499999999999999</v>
      </c>
    </row>
    <row r="319" spans="1:11" ht="13" thickBot="1" x14ac:dyDescent="0.3">
      <c r="A319" s="638">
        <v>0</v>
      </c>
      <c r="B319" s="628">
        <v>9.52</v>
      </c>
      <c r="C319" s="952"/>
      <c r="D319" s="952"/>
      <c r="E319" s="952"/>
      <c r="F319" s="952"/>
      <c r="G319" s="628">
        <v>9.52</v>
      </c>
      <c r="H319" s="952"/>
      <c r="I319" s="628">
        <v>10.4</v>
      </c>
      <c r="J319" s="952"/>
      <c r="K319" s="629">
        <v>10.8</v>
      </c>
    </row>
    <row r="320" spans="1:11" x14ac:dyDescent="0.25">
      <c r="A320" s="637" t="s">
        <v>812</v>
      </c>
      <c r="B320" s="633">
        <v>0.40629999999999999</v>
      </c>
      <c r="C320" s="951"/>
      <c r="D320" s="951"/>
      <c r="E320" s="951"/>
      <c r="F320" s="951"/>
      <c r="G320" s="633">
        <v>0.40620000000000001</v>
      </c>
      <c r="H320" s="951"/>
      <c r="I320" s="633">
        <v>0.46</v>
      </c>
      <c r="J320" s="951"/>
      <c r="K320" s="635">
        <v>0.45400000000000001</v>
      </c>
    </row>
    <row r="321" spans="1:11" ht="13" thickBot="1" x14ac:dyDescent="0.3">
      <c r="A321" s="638">
        <v>0</v>
      </c>
      <c r="B321" s="628">
        <v>10.3</v>
      </c>
      <c r="C321" s="952"/>
      <c r="D321" s="952"/>
      <c r="E321" s="952"/>
      <c r="F321" s="952"/>
      <c r="G321" s="628">
        <v>10.3</v>
      </c>
      <c r="H321" s="952"/>
      <c r="I321" s="628">
        <v>11.7</v>
      </c>
      <c r="J321" s="952"/>
      <c r="K321" s="629">
        <v>11.5</v>
      </c>
    </row>
    <row r="322" spans="1:11" x14ac:dyDescent="0.25">
      <c r="A322" s="637" t="s">
        <v>813</v>
      </c>
      <c r="B322" s="633">
        <v>0.4375</v>
      </c>
      <c r="C322" s="951"/>
      <c r="D322" s="951"/>
      <c r="E322" s="951"/>
      <c r="F322" s="951"/>
      <c r="G322" s="633">
        <v>0.4375</v>
      </c>
      <c r="H322" s="951"/>
      <c r="I322" s="633">
        <v>0.51649999999999996</v>
      </c>
      <c r="J322" s="951"/>
      <c r="K322" s="635">
        <v>0.5</v>
      </c>
    </row>
    <row r="323" spans="1:11" ht="13" thickBot="1" x14ac:dyDescent="0.3">
      <c r="A323" s="638">
        <v>0</v>
      </c>
      <c r="B323" s="628">
        <v>11.1</v>
      </c>
      <c r="C323" s="952"/>
      <c r="D323" s="952"/>
      <c r="E323" s="952"/>
      <c r="F323" s="952"/>
      <c r="G323" s="628">
        <v>11.1</v>
      </c>
      <c r="H323" s="952"/>
      <c r="I323" s="628">
        <v>13.1</v>
      </c>
      <c r="J323" s="952"/>
      <c r="K323" s="629">
        <v>12.7</v>
      </c>
    </row>
    <row r="324" spans="1:11" x14ac:dyDescent="0.25">
      <c r="A324" s="637" t="s">
        <v>814</v>
      </c>
      <c r="B324" s="633">
        <v>0.46879999999999999</v>
      </c>
      <c r="C324" s="951"/>
      <c r="D324" s="951"/>
      <c r="E324" s="951"/>
      <c r="F324" s="951"/>
      <c r="G324" s="633">
        <v>0.46870000000000001</v>
      </c>
      <c r="H324" s="951"/>
      <c r="I324" s="633">
        <v>0.57999999999999996</v>
      </c>
      <c r="J324" s="951"/>
      <c r="K324" s="953"/>
    </row>
    <row r="325" spans="1:11" ht="13" thickBot="1" x14ac:dyDescent="0.3">
      <c r="A325" s="638">
        <v>0</v>
      </c>
      <c r="B325" s="628">
        <v>11.9</v>
      </c>
      <c r="C325" s="952"/>
      <c r="D325" s="952"/>
      <c r="E325" s="952"/>
      <c r="F325" s="952"/>
      <c r="G325" s="628">
        <v>11.9</v>
      </c>
      <c r="H325" s="952"/>
      <c r="I325" s="628">
        <v>14.7</v>
      </c>
      <c r="J325" s="952"/>
      <c r="K325" s="954"/>
    </row>
    <row r="326" spans="1:11" x14ac:dyDescent="0.25">
      <c r="A326" s="637" t="s">
        <v>815</v>
      </c>
      <c r="B326" s="633">
        <v>0.5</v>
      </c>
      <c r="C326" s="951"/>
      <c r="D326" s="951"/>
      <c r="E326" s="951"/>
      <c r="F326" s="951"/>
      <c r="G326" s="951"/>
      <c r="H326" s="951"/>
      <c r="I326" s="951"/>
      <c r="J326" s="951"/>
      <c r="K326" s="953"/>
    </row>
    <row r="327" spans="1:11" ht="13" thickBot="1" x14ac:dyDescent="0.3">
      <c r="A327" s="639">
        <v>0</v>
      </c>
      <c r="B327" s="630">
        <v>12.7</v>
      </c>
      <c r="C327" s="957"/>
      <c r="D327" s="957"/>
      <c r="E327" s="957"/>
      <c r="F327" s="957"/>
      <c r="G327" s="957"/>
      <c r="H327" s="957"/>
      <c r="I327" s="957"/>
      <c r="J327" s="957"/>
      <c r="K327" s="958"/>
    </row>
    <row r="328" spans="1:11" x14ac:dyDescent="0.25">
      <c r="A328" s="194"/>
    </row>
    <row r="329" spans="1:11" ht="28" x14ac:dyDescent="0.25">
      <c r="A329" s="640" t="s">
        <v>1163</v>
      </c>
    </row>
  </sheetData>
  <mergeCells count="250">
    <mergeCell ref="B2:E2"/>
    <mergeCell ref="F4:G13"/>
    <mergeCell ref="C77:D77"/>
    <mergeCell ref="E77:F77"/>
    <mergeCell ref="G77:H77"/>
    <mergeCell ref="A18:B18"/>
    <mergeCell ref="A22:A23"/>
    <mergeCell ref="B22:B23"/>
    <mergeCell ref="A223:A225"/>
    <mergeCell ref="C223:D223"/>
    <mergeCell ref="E223:F223"/>
    <mergeCell ref="G223:H223"/>
    <mergeCell ref="I223:J223"/>
    <mergeCell ref="B224:B225"/>
    <mergeCell ref="E101:Q101"/>
    <mergeCell ref="B74:I75"/>
    <mergeCell ref="C80:J80"/>
    <mergeCell ref="C81:J81"/>
    <mergeCell ref="I77:J77"/>
    <mergeCell ref="C78:D78"/>
    <mergeCell ref="E78:F78"/>
    <mergeCell ref="G78:H78"/>
    <mergeCell ref="I78:J78"/>
    <mergeCell ref="K228:K229"/>
    <mergeCell ref="A226:A227"/>
    <mergeCell ref="C226:C227"/>
    <mergeCell ref="D226:D227"/>
    <mergeCell ref="E226:E227"/>
    <mergeCell ref="F226:F227"/>
    <mergeCell ref="G226:G227"/>
    <mergeCell ref="H226:H227"/>
    <mergeCell ref="I226:I227"/>
    <mergeCell ref="J226:J227"/>
    <mergeCell ref="K226:K227"/>
    <mergeCell ref="A228:A229"/>
    <mergeCell ref="C228:C229"/>
    <mergeCell ref="D228:D229"/>
    <mergeCell ref="E228:E229"/>
    <mergeCell ref="F228:F229"/>
    <mergeCell ref="G228:G229"/>
    <mergeCell ref="H228:H229"/>
    <mergeCell ref="I228:I229"/>
    <mergeCell ref="J228:J229"/>
    <mergeCell ref="K232:K233"/>
    <mergeCell ref="A230:A231"/>
    <mergeCell ref="C230:C231"/>
    <mergeCell ref="D230:D231"/>
    <mergeCell ref="E230:E231"/>
    <mergeCell ref="F230:F231"/>
    <mergeCell ref="G230:G231"/>
    <mergeCell ref="H230:H231"/>
    <mergeCell ref="I230:I231"/>
    <mergeCell ref="J230:J231"/>
    <mergeCell ref="K230:K231"/>
    <mergeCell ref="A232:A233"/>
    <mergeCell ref="C232:C233"/>
    <mergeCell ref="D232:D233"/>
    <mergeCell ref="E232:E233"/>
    <mergeCell ref="F232:F233"/>
    <mergeCell ref="G232:G233"/>
    <mergeCell ref="H232:H233"/>
    <mergeCell ref="I232:I233"/>
    <mergeCell ref="J232:J233"/>
    <mergeCell ref="K236:K237"/>
    <mergeCell ref="A234:A235"/>
    <mergeCell ref="C234:C235"/>
    <mergeCell ref="D234:D235"/>
    <mergeCell ref="E234:E235"/>
    <mergeCell ref="F234:F235"/>
    <mergeCell ref="G234:G235"/>
    <mergeCell ref="H234:H235"/>
    <mergeCell ref="I234:I235"/>
    <mergeCell ref="J234:J235"/>
    <mergeCell ref="K234:K235"/>
    <mergeCell ref="A242:A243"/>
    <mergeCell ref="D242:D243"/>
    <mergeCell ref="E242:E243"/>
    <mergeCell ref="F242:F243"/>
    <mergeCell ref="H242:H243"/>
    <mergeCell ref="J242:J243"/>
    <mergeCell ref="A236:A237"/>
    <mergeCell ref="C236:C237"/>
    <mergeCell ref="D236:D237"/>
    <mergeCell ref="E236:E237"/>
    <mergeCell ref="F236:F237"/>
    <mergeCell ref="G236:G237"/>
    <mergeCell ref="H236:H237"/>
    <mergeCell ref="I236:I237"/>
    <mergeCell ref="J236:J237"/>
    <mergeCell ref="A238:A239"/>
    <mergeCell ref="D238:D239"/>
    <mergeCell ref="E238:E239"/>
    <mergeCell ref="F238:F239"/>
    <mergeCell ref="H238:H239"/>
    <mergeCell ref="J238:J239"/>
    <mergeCell ref="A240:A241"/>
    <mergeCell ref="A286:A287"/>
    <mergeCell ref="A288:A289"/>
    <mergeCell ref="H288:H289"/>
    <mergeCell ref="A290:A291"/>
    <mergeCell ref="A262:A263"/>
    <mergeCell ref="A248:A249"/>
    <mergeCell ref="D248:D249"/>
    <mergeCell ref="E248:E249"/>
    <mergeCell ref="F248:F249"/>
    <mergeCell ref="H248:H249"/>
    <mergeCell ref="A250:A251"/>
    <mergeCell ref="D250:D251"/>
    <mergeCell ref="E250:E251"/>
    <mergeCell ref="F250:F251"/>
    <mergeCell ref="H250:H251"/>
    <mergeCell ref="A254:A255"/>
    <mergeCell ref="H254:H255"/>
    <mergeCell ref="A256:A257"/>
    <mergeCell ref="H256:H257"/>
    <mergeCell ref="A258:A259"/>
    <mergeCell ref="H258:H259"/>
    <mergeCell ref="A260:A261"/>
    <mergeCell ref="H260:H261"/>
    <mergeCell ref="A252:A253"/>
    <mergeCell ref="A296:A297"/>
    <mergeCell ref="H296:H297"/>
    <mergeCell ref="A298:A299"/>
    <mergeCell ref="A300:A301"/>
    <mergeCell ref="E300:E301"/>
    <mergeCell ref="F300:F301"/>
    <mergeCell ref="A292:A293"/>
    <mergeCell ref="A294:A295"/>
    <mergeCell ref="A264:A265"/>
    <mergeCell ref="H264:H265"/>
    <mergeCell ref="A266:A267"/>
    <mergeCell ref="A268:A269"/>
    <mergeCell ref="H268:H269"/>
    <mergeCell ref="A270:A271"/>
    <mergeCell ref="A272:A273"/>
    <mergeCell ref="H272:H273"/>
    <mergeCell ref="A274:A275"/>
    <mergeCell ref="A276:A277"/>
    <mergeCell ref="H276:H277"/>
    <mergeCell ref="A278:A279"/>
    <mergeCell ref="A280:A281"/>
    <mergeCell ref="H280:H281"/>
    <mergeCell ref="A282:A283"/>
    <mergeCell ref="A284:A285"/>
    <mergeCell ref="A312:A313"/>
    <mergeCell ref="A302:A303"/>
    <mergeCell ref="E302:E303"/>
    <mergeCell ref="F302:F303"/>
    <mergeCell ref="H302:H303"/>
    <mergeCell ref="A304:A305"/>
    <mergeCell ref="E304:E305"/>
    <mergeCell ref="F304:F305"/>
    <mergeCell ref="H304:H305"/>
    <mergeCell ref="C312:C313"/>
    <mergeCell ref="D312:D313"/>
    <mergeCell ref="E312:E313"/>
    <mergeCell ref="F312:F313"/>
    <mergeCell ref="H312:H313"/>
    <mergeCell ref="A308:A309"/>
    <mergeCell ref="E308:E309"/>
    <mergeCell ref="F308:F309"/>
    <mergeCell ref="H308:H309"/>
    <mergeCell ref="A306:A307"/>
    <mergeCell ref="E306:E307"/>
    <mergeCell ref="F306:F307"/>
    <mergeCell ref="H306:H307"/>
    <mergeCell ref="C326:C327"/>
    <mergeCell ref="C320:C321"/>
    <mergeCell ref="D320:D321"/>
    <mergeCell ref="E320:E321"/>
    <mergeCell ref="F320:F321"/>
    <mergeCell ref="H320:H321"/>
    <mergeCell ref="J320:J321"/>
    <mergeCell ref="C316:C317"/>
    <mergeCell ref="D316:D317"/>
    <mergeCell ref="E316:E317"/>
    <mergeCell ref="F316:F317"/>
    <mergeCell ref="H316:H317"/>
    <mergeCell ref="J316:J317"/>
    <mergeCell ref="C318:C319"/>
    <mergeCell ref="D318:D319"/>
    <mergeCell ref="E318:E319"/>
    <mergeCell ref="F318:F319"/>
    <mergeCell ref="H322:H323"/>
    <mergeCell ref="J322:J323"/>
    <mergeCell ref="C324:C325"/>
    <mergeCell ref="D324:D325"/>
    <mergeCell ref="E324:E325"/>
    <mergeCell ref="F324:F325"/>
    <mergeCell ref="H324:H325"/>
    <mergeCell ref="J324:J325"/>
    <mergeCell ref="J312:J313"/>
    <mergeCell ref="C314:C315"/>
    <mergeCell ref="D314:D315"/>
    <mergeCell ref="E314:E315"/>
    <mergeCell ref="F314:F315"/>
    <mergeCell ref="H314:H315"/>
    <mergeCell ref="J314:J315"/>
    <mergeCell ref="K238:K239"/>
    <mergeCell ref="D240:D241"/>
    <mergeCell ref="E240:E241"/>
    <mergeCell ref="F240:F241"/>
    <mergeCell ref="H240:H241"/>
    <mergeCell ref="J240:J241"/>
    <mergeCell ref="K240:K241"/>
    <mergeCell ref="J252:J253"/>
    <mergeCell ref="D252:D253"/>
    <mergeCell ref="E252:E253"/>
    <mergeCell ref="F252:F253"/>
    <mergeCell ref="H252:H253"/>
    <mergeCell ref="J304:J305"/>
    <mergeCell ref="H284:H285"/>
    <mergeCell ref="J248:J249"/>
    <mergeCell ref="J250:J251"/>
    <mergeCell ref="A244:A245"/>
    <mergeCell ref="D244:D245"/>
    <mergeCell ref="E244:E245"/>
    <mergeCell ref="F244:F245"/>
    <mergeCell ref="H244:H245"/>
    <mergeCell ref="J244:J245"/>
    <mergeCell ref="A246:A247"/>
    <mergeCell ref="D246:D247"/>
    <mergeCell ref="E246:E247"/>
    <mergeCell ref="F246:F247"/>
    <mergeCell ref="H246:H247"/>
    <mergeCell ref="J246:J247"/>
    <mergeCell ref="K326:K327"/>
    <mergeCell ref="J306:J307"/>
    <mergeCell ref="K324:K325"/>
    <mergeCell ref="J308:J309"/>
    <mergeCell ref="A310:A311"/>
    <mergeCell ref="C310:C311"/>
    <mergeCell ref="D310:D311"/>
    <mergeCell ref="E310:E311"/>
    <mergeCell ref="F310:F311"/>
    <mergeCell ref="H310:H311"/>
    <mergeCell ref="J310:J311"/>
    <mergeCell ref="D326:D327"/>
    <mergeCell ref="E326:E327"/>
    <mergeCell ref="F326:F327"/>
    <mergeCell ref="G326:G327"/>
    <mergeCell ref="H326:H327"/>
    <mergeCell ref="I326:I327"/>
    <mergeCell ref="J326:J327"/>
    <mergeCell ref="H318:H319"/>
    <mergeCell ref="J318:J319"/>
    <mergeCell ref="C322:C323"/>
    <mergeCell ref="D322:D323"/>
    <mergeCell ref="E322:E323"/>
    <mergeCell ref="F322:F323"/>
  </mergeCells>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48"/>
  <sheetViews>
    <sheetView workbookViewId="0">
      <selection activeCell="B6" sqref="B6"/>
    </sheetView>
  </sheetViews>
  <sheetFormatPr defaultRowHeight="12.5" x14ac:dyDescent="0.25"/>
  <cols>
    <col min="1" max="1" width="35.81640625" customWidth="1"/>
    <col min="2" max="2" width="12.6328125" bestFit="1" customWidth="1"/>
  </cols>
  <sheetData>
    <row r="3" spans="1:2" x14ac:dyDescent="0.25">
      <c r="A3" s="616" t="s">
        <v>1158</v>
      </c>
      <c r="B3" s="617">
        <v>5000</v>
      </c>
    </row>
    <row r="4" spans="1:2" x14ac:dyDescent="0.25">
      <c r="A4" s="28" t="s">
        <v>1037</v>
      </c>
      <c r="B4" s="618">
        <f>1/(B6/B3)</f>
        <v>5000</v>
      </c>
    </row>
    <row r="5" spans="1:2" x14ac:dyDescent="0.25">
      <c r="A5" s="616" t="s">
        <v>1162</v>
      </c>
      <c r="B5" s="627">
        <v>1E-3</v>
      </c>
    </row>
    <row r="6" spans="1:2" x14ac:dyDescent="0.25">
      <c r="A6" s="28" t="s">
        <v>1039</v>
      </c>
      <c r="B6" s="619">
        <v>1</v>
      </c>
    </row>
    <row r="7" spans="1:2" x14ac:dyDescent="0.25">
      <c r="A7" s="1007" t="s">
        <v>1154</v>
      </c>
      <c r="B7" s="620">
        <f>B5*B4</f>
        <v>5</v>
      </c>
    </row>
    <row r="8" spans="1:2" x14ac:dyDescent="0.25">
      <c r="A8" s="1007"/>
      <c r="B8" s="621">
        <f>B7/9.81</f>
        <v>0.509683995922528</v>
      </c>
    </row>
    <row r="9" spans="1:2" x14ac:dyDescent="0.25">
      <c r="A9" s="616" t="s">
        <v>1155</v>
      </c>
      <c r="B9" s="622">
        <v>60</v>
      </c>
    </row>
    <row r="10" spans="1:2" ht="13" thickBot="1" x14ac:dyDescent="0.3">
      <c r="A10" s="616" t="s">
        <v>1156</v>
      </c>
      <c r="B10" s="624">
        <f>B9*((B6/2)*(B6/2))</f>
        <v>15</v>
      </c>
    </row>
    <row r="11" spans="1:2" ht="13" thickBot="1" x14ac:dyDescent="0.3">
      <c r="A11" s="623" t="s">
        <v>1157</v>
      </c>
      <c r="B11" s="625">
        <f>1/(B10/B8)</f>
        <v>3.3978933061501862E-2</v>
      </c>
    </row>
    <row r="13" spans="1:2" x14ac:dyDescent="0.25">
      <c r="A13" s="616" t="s">
        <v>1159</v>
      </c>
      <c r="B13" s="617">
        <v>850</v>
      </c>
    </row>
    <row r="14" spans="1:2" x14ac:dyDescent="0.25">
      <c r="A14" s="28" t="s">
        <v>1037</v>
      </c>
      <c r="B14" s="618">
        <f>1/(B16/B13)</f>
        <v>170</v>
      </c>
    </row>
    <row r="15" spans="1:2" x14ac:dyDescent="0.25">
      <c r="A15" s="616" t="s">
        <v>1161</v>
      </c>
      <c r="B15" s="626">
        <v>2.5000000000000001E-2</v>
      </c>
    </row>
    <row r="16" spans="1:2" x14ac:dyDescent="0.25">
      <c r="A16" s="28" t="s">
        <v>1039</v>
      </c>
      <c r="B16" s="619">
        <v>5</v>
      </c>
    </row>
    <row r="17" spans="1:2" x14ac:dyDescent="0.25">
      <c r="A17" s="1007" t="s">
        <v>1154</v>
      </c>
      <c r="B17" s="620">
        <f>B15*B14</f>
        <v>4.25</v>
      </c>
    </row>
    <row r="18" spans="1:2" x14ac:dyDescent="0.25">
      <c r="A18" s="1007"/>
      <c r="B18" s="621">
        <f>B17/9.81</f>
        <v>0.43323139653414883</v>
      </c>
    </row>
    <row r="19" spans="1:2" x14ac:dyDescent="0.25">
      <c r="A19" s="616" t="s">
        <v>1155</v>
      </c>
      <c r="B19" s="622">
        <v>60</v>
      </c>
    </row>
    <row r="20" spans="1:2" ht="13" thickBot="1" x14ac:dyDescent="0.3">
      <c r="A20" s="616" t="s">
        <v>1156</v>
      </c>
      <c r="B20" s="624">
        <f>B19*((B16/2)*(B16/2))</f>
        <v>375</v>
      </c>
    </row>
    <row r="21" spans="1:2" ht="13" thickBot="1" x14ac:dyDescent="0.3">
      <c r="A21" s="623" t="s">
        <v>1157</v>
      </c>
      <c r="B21" s="625">
        <f>1/(B20/B18)</f>
        <v>1.1552837240910636E-3</v>
      </c>
    </row>
    <row r="23" spans="1:2" x14ac:dyDescent="0.25">
      <c r="A23" s="616" t="s">
        <v>1160</v>
      </c>
      <c r="B23" s="617">
        <v>350</v>
      </c>
    </row>
    <row r="24" spans="1:2" x14ac:dyDescent="0.25">
      <c r="A24" s="28" t="s">
        <v>1037</v>
      </c>
      <c r="B24" s="618">
        <f>1/(B26/B23)</f>
        <v>33.333333333333336</v>
      </c>
    </row>
    <row r="25" spans="1:2" x14ac:dyDescent="0.25">
      <c r="A25" s="28" t="s">
        <v>1038</v>
      </c>
      <c r="B25" s="626">
        <v>7.6999999999999999E-2</v>
      </c>
    </row>
    <row r="26" spans="1:2" x14ac:dyDescent="0.25">
      <c r="A26" s="28" t="s">
        <v>1039</v>
      </c>
      <c r="B26" s="619">
        <v>10.5</v>
      </c>
    </row>
    <row r="27" spans="1:2" x14ac:dyDescent="0.25">
      <c r="A27" s="1007" t="s">
        <v>1154</v>
      </c>
      <c r="B27" s="620">
        <f>B25*B24</f>
        <v>2.5666666666666669</v>
      </c>
    </row>
    <row r="28" spans="1:2" x14ac:dyDescent="0.25">
      <c r="A28" s="1007"/>
      <c r="B28" s="621">
        <f>B27/9.81</f>
        <v>0.2616377845735644</v>
      </c>
    </row>
    <row r="29" spans="1:2" x14ac:dyDescent="0.25">
      <c r="A29" s="616" t="s">
        <v>1155</v>
      </c>
      <c r="B29" s="622">
        <v>60</v>
      </c>
    </row>
    <row r="30" spans="1:2" ht="13" thickBot="1" x14ac:dyDescent="0.3">
      <c r="A30" s="616" t="s">
        <v>1156</v>
      </c>
      <c r="B30" s="624">
        <f>B29*((B26/2)*(B26/2))</f>
        <v>1653.75</v>
      </c>
    </row>
    <row r="31" spans="1:2" ht="13" thickBot="1" x14ac:dyDescent="0.3">
      <c r="A31" s="623" t="s">
        <v>1157</v>
      </c>
      <c r="B31" s="625">
        <f>1/(B30/B28)</f>
        <v>1.5820878885778648E-4</v>
      </c>
    </row>
    <row r="34" spans="1:3" x14ac:dyDescent="0.25">
      <c r="A34" t="s">
        <v>1140</v>
      </c>
    </row>
    <row r="35" spans="1:3" x14ac:dyDescent="0.25">
      <c r="A35" t="s">
        <v>808</v>
      </c>
      <c r="B35" s="604">
        <v>500</v>
      </c>
    </row>
    <row r="36" spans="1:3" x14ac:dyDescent="0.25">
      <c r="A36" t="s">
        <v>0</v>
      </c>
      <c r="B36" s="605">
        <v>72</v>
      </c>
    </row>
    <row r="37" spans="1:3" x14ac:dyDescent="0.25">
      <c r="A37" s="11" t="s">
        <v>1141</v>
      </c>
      <c r="B37" s="608">
        <f>B35*(B36/12)</f>
        <v>3000</v>
      </c>
    </row>
    <row r="40" spans="1:3" x14ac:dyDescent="0.25">
      <c r="A40" t="s">
        <v>1140</v>
      </c>
    </row>
    <row r="41" spans="1:3" x14ac:dyDescent="0.25">
      <c r="A41" t="s">
        <v>808</v>
      </c>
      <c r="B41" s="606">
        <v>227</v>
      </c>
    </row>
    <row r="42" spans="1:3" x14ac:dyDescent="0.25">
      <c r="A42" t="s">
        <v>0</v>
      </c>
      <c r="B42" s="607">
        <v>1.8</v>
      </c>
    </row>
    <row r="43" spans="1:3" x14ac:dyDescent="0.25">
      <c r="A43" s="11" t="s">
        <v>1141</v>
      </c>
      <c r="B43" s="160">
        <f>B41*B42</f>
        <v>408.6</v>
      </c>
    </row>
    <row r="48" spans="1:3" x14ac:dyDescent="0.25">
      <c r="C48" s="603"/>
    </row>
  </sheetData>
  <mergeCells count="3">
    <mergeCell ref="A27:A28"/>
    <mergeCell ref="A17:A18"/>
    <mergeCell ref="A7:A8"/>
  </mergeCells>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57"/>
  <sheetViews>
    <sheetView workbookViewId="0">
      <selection activeCell="L2" sqref="L2"/>
    </sheetView>
  </sheetViews>
  <sheetFormatPr defaultRowHeight="12.5" x14ac:dyDescent="0.25"/>
  <cols>
    <col min="1" max="1" width="68" customWidth="1"/>
    <col min="2" max="3" width="13.1796875" customWidth="1"/>
    <col min="4" max="4" width="15.81640625" customWidth="1"/>
    <col min="5" max="5" width="14.7265625" customWidth="1"/>
    <col min="6" max="6" width="17.453125" customWidth="1"/>
    <col min="7" max="7" width="10.453125" customWidth="1"/>
    <col min="8" max="8" width="8.7265625" customWidth="1"/>
    <col min="9" max="9" width="14" customWidth="1"/>
    <col min="10" max="10" width="14.7265625" customWidth="1"/>
    <col min="11" max="11" width="16.7265625" customWidth="1"/>
    <col min="12" max="12" width="41" customWidth="1"/>
    <col min="257" max="257" width="68" customWidth="1"/>
    <col min="258" max="259" width="13.1796875" customWidth="1"/>
    <col min="260" max="260" width="15.81640625" customWidth="1"/>
    <col min="261" max="261" width="14.7265625" customWidth="1"/>
    <col min="262" max="262" width="17.453125" customWidth="1"/>
    <col min="263" max="263" width="10.453125" customWidth="1"/>
    <col min="264" max="264" width="8.7265625" customWidth="1"/>
    <col min="265" max="265" width="14" customWidth="1"/>
    <col min="266" max="266" width="14.7265625" customWidth="1"/>
    <col min="267" max="267" width="16.7265625" customWidth="1"/>
    <col min="268" max="268" width="41" customWidth="1"/>
    <col min="513" max="513" width="68" customWidth="1"/>
    <col min="514" max="515" width="13.1796875" customWidth="1"/>
    <col min="516" max="516" width="15.81640625" customWidth="1"/>
    <col min="517" max="517" width="14.7265625" customWidth="1"/>
    <col min="518" max="518" width="17.453125" customWidth="1"/>
    <col min="519" max="519" width="10.453125" customWidth="1"/>
    <col min="520" max="520" width="8.7265625" customWidth="1"/>
    <col min="521" max="521" width="14" customWidth="1"/>
    <col min="522" max="522" width="14.7265625" customWidth="1"/>
    <col min="523" max="523" width="16.7265625" customWidth="1"/>
    <col min="524" max="524" width="41" customWidth="1"/>
    <col min="769" max="769" width="68" customWidth="1"/>
    <col min="770" max="771" width="13.1796875" customWidth="1"/>
    <col min="772" max="772" width="15.81640625" customWidth="1"/>
    <col min="773" max="773" width="14.7265625" customWidth="1"/>
    <col min="774" max="774" width="17.453125" customWidth="1"/>
    <col min="775" max="775" width="10.453125" customWidth="1"/>
    <col min="776" max="776" width="8.7265625" customWidth="1"/>
    <col min="777" max="777" width="14" customWidth="1"/>
    <col min="778" max="778" width="14.7265625" customWidth="1"/>
    <col min="779" max="779" width="16.7265625" customWidth="1"/>
    <col min="780" max="780" width="41" customWidth="1"/>
    <col min="1025" max="1025" width="68" customWidth="1"/>
    <col min="1026" max="1027" width="13.1796875" customWidth="1"/>
    <col min="1028" max="1028" width="15.81640625" customWidth="1"/>
    <col min="1029" max="1029" width="14.7265625" customWidth="1"/>
    <col min="1030" max="1030" width="17.453125" customWidth="1"/>
    <col min="1031" max="1031" width="10.453125" customWidth="1"/>
    <col min="1032" max="1032" width="8.7265625" customWidth="1"/>
    <col min="1033" max="1033" width="14" customWidth="1"/>
    <col min="1034" max="1034" width="14.7265625" customWidth="1"/>
    <col min="1035" max="1035" width="16.7265625" customWidth="1"/>
    <col min="1036" max="1036" width="41" customWidth="1"/>
    <col min="1281" max="1281" width="68" customWidth="1"/>
    <col min="1282" max="1283" width="13.1796875" customWidth="1"/>
    <col min="1284" max="1284" width="15.81640625" customWidth="1"/>
    <col min="1285" max="1285" width="14.7265625" customWidth="1"/>
    <col min="1286" max="1286" width="17.453125" customWidth="1"/>
    <col min="1287" max="1287" width="10.453125" customWidth="1"/>
    <col min="1288" max="1288" width="8.7265625" customWidth="1"/>
    <col min="1289" max="1289" width="14" customWidth="1"/>
    <col min="1290" max="1290" width="14.7265625" customWidth="1"/>
    <col min="1291" max="1291" width="16.7265625" customWidth="1"/>
    <col min="1292" max="1292" width="41" customWidth="1"/>
    <col min="1537" max="1537" width="68" customWidth="1"/>
    <col min="1538" max="1539" width="13.1796875" customWidth="1"/>
    <col min="1540" max="1540" width="15.81640625" customWidth="1"/>
    <col min="1541" max="1541" width="14.7265625" customWidth="1"/>
    <col min="1542" max="1542" width="17.453125" customWidth="1"/>
    <col min="1543" max="1543" width="10.453125" customWidth="1"/>
    <col min="1544" max="1544" width="8.7265625" customWidth="1"/>
    <col min="1545" max="1545" width="14" customWidth="1"/>
    <col min="1546" max="1546" width="14.7265625" customWidth="1"/>
    <col min="1547" max="1547" width="16.7265625" customWidth="1"/>
    <col min="1548" max="1548" width="41" customWidth="1"/>
    <col min="1793" max="1793" width="68" customWidth="1"/>
    <col min="1794" max="1795" width="13.1796875" customWidth="1"/>
    <col min="1796" max="1796" width="15.81640625" customWidth="1"/>
    <col min="1797" max="1797" width="14.7265625" customWidth="1"/>
    <col min="1798" max="1798" width="17.453125" customWidth="1"/>
    <col min="1799" max="1799" width="10.453125" customWidth="1"/>
    <col min="1800" max="1800" width="8.7265625" customWidth="1"/>
    <col min="1801" max="1801" width="14" customWidth="1"/>
    <col min="1802" max="1802" width="14.7265625" customWidth="1"/>
    <col min="1803" max="1803" width="16.7265625" customWidth="1"/>
    <col min="1804" max="1804" width="41" customWidth="1"/>
    <col min="2049" max="2049" width="68" customWidth="1"/>
    <col min="2050" max="2051" width="13.1796875" customWidth="1"/>
    <col min="2052" max="2052" width="15.81640625" customWidth="1"/>
    <col min="2053" max="2053" width="14.7265625" customWidth="1"/>
    <col min="2054" max="2054" width="17.453125" customWidth="1"/>
    <col min="2055" max="2055" width="10.453125" customWidth="1"/>
    <col min="2056" max="2056" width="8.7265625" customWidth="1"/>
    <col min="2057" max="2057" width="14" customWidth="1"/>
    <col min="2058" max="2058" width="14.7265625" customWidth="1"/>
    <col min="2059" max="2059" width="16.7265625" customWidth="1"/>
    <col min="2060" max="2060" width="41" customWidth="1"/>
    <col min="2305" max="2305" width="68" customWidth="1"/>
    <col min="2306" max="2307" width="13.1796875" customWidth="1"/>
    <col min="2308" max="2308" width="15.81640625" customWidth="1"/>
    <col min="2309" max="2309" width="14.7265625" customWidth="1"/>
    <col min="2310" max="2310" width="17.453125" customWidth="1"/>
    <col min="2311" max="2311" width="10.453125" customWidth="1"/>
    <col min="2312" max="2312" width="8.7265625" customWidth="1"/>
    <col min="2313" max="2313" width="14" customWidth="1"/>
    <col min="2314" max="2314" width="14.7265625" customWidth="1"/>
    <col min="2315" max="2315" width="16.7265625" customWidth="1"/>
    <col min="2316" max="2316" width="41" customWidth="1"/>
    <col min="2561" max="2561" width="68" customWidth="1"/>
    <col min="2562" max="2563" width="13.1796875" customWidth="1"/>
    <col min="2564" max="2564" width="15.81640625" customWidth="1"/>
    <col min="2565" max="2565" width="14.7265625" customWidth="1"/>
    <col min="2566" max="2566" width="17.453125" customWidth="1"/>
    <col min="2567" max="2567" width="10.453125" customWidth="1"/>
    <col min="2568" max="2568" width="8.7265625" customWidth="1"/>
    <col min="2569" max="2569" width="14" customWidth="1"/>
    <col min="2570" max="2570" width="14.7265625" customWidth="1"/>
    <col min="2571" max="2571" width="16.7265625" customWidth="1"/>
    <col min="2572" max="2572" width="41" customWidth="1"/>
    <col min="2817" max="2817" width="68" customWidth="1"/>
    <col min="2818" max="2819" width="13.1796875" customWidth="1"/>
    <col min="2820" max="2820" width="15.81640625" customWidth="1"/>
    <col min="2821" max="2821" width="14.7265625" customWidth="1"/>
    <col min="2822" max="2822" width="17.453125" customWidth="1"/>
    <col min="2823" max="2823" width="10.453125" customWidth="1"/>
    <col min="2824" max="2824" width="8.7265625" customWidth="1"/>
    <col min="2825" max="2825" width="14" customWidth="1"/>
    <col min="2826" max="2826" width="14.7265625" customWidth="1"/>
    <col min="2827" max="2827" width="16.7265625" customWidth="1"/>
    <col min="2828" max="2828" width="41" customWidth="1"/>
    <col min="3073" max="3073" width="68" customWidth="1"/>
    <col min="3074" max="3075" width="13.1796875" customWidth="1"/>
    <col min="3076" max="3076" width="15.81640625" customWidth="1"/>
    <col min="3077" max="3077" width="14.7265625" customWidth="1"/>
    <col min="3078" max="3078" width="17.453125" customWidth="1"/>
    <col min="3079" max="3079" width="10.453125" customWidth="1"/>
    <col min="3080" max="3080" width="8.7265625" customWidth="1"/>
    <col min="3081" max="3081" width="14" customWidth="1"/>
    <col min="3082" max="3082" width="14.7265625" customWidth="1"/>
    <col min="3083" max="3083" width="16.7265625" customWidth="1"/>
    <col min="3084" max="3084" width="41" customWidth="1"/>
    <col min="3329" max="3329" width="68" customWidth="1"/>
    <col min="3330" max="3331" width="13.1796875" customWidth="1"/>
    <col min="3332" max="3332" width="15.81640625" customWidth="1"/>
    <col min="3333" max="3333" width="14.7265625" customWidth="1"/>
    <col min="3334" max="3334" width="17.453125" customWidth="1"/>
    <col min="3335" max="3335" width="10.453125" customWidth="1"/>
    <col min="3336" max="3336" width="8.7265625" customWidth="1"/>
    <col min="3337" max="3337" width="14" customWidth="1"/>
    <col min="3338" max="3338" width="14.7265625" customWidth="1"/>
    <col min="3339" max="3339" width="16.7265625" customWidth="1"/>
    <col min="3340" max="3340" width="41" customWidth="1"/>
    <col min="3585" max="3585" width="68" customWidth="1"/>
    <col min="3586" max="3587" width="13.1796875" customWidth="1"/>
    <col min="3588" max="3588" width="15.81640625" customWidth="1"/>
    <col min="3589" max="3589" width="14.7265625" customWidth="1"/>
    <col min="3590" max="3590" width="17.453125" customWidth="1"/>
    <col min="3591" max="3591" width="10.453125" customWidth="1"/>
    <col min="3592" max="3592" width="8.7265625" customWidth="1"/>
    <col min="3593" max="3593" width="14" customWidth="1"/>
    <col min="3594" max="3594" width="14.7265625" customWidth="1"/>
    <col min="3595" max="3595" width="16.7265625" customWidth="1"/>
    <col min="3596" max="3596" width="41" customWidth="1"/>
    <col min="3841" max="3841" width="68" customWidth="1"/>
    <col min="3842" max="3843" width="13.1796875" customWidth="1"/>
    <col min="3844" max="3844" width="15.81640625" customWidth="1"/>
    <col min="3845" max="3845" width="14.7265625" customWidth="1"/>
    <col min="3846" max="3846" width="17.453125" customWidth="1"/>
    <col min="3847" max="3847" width="10.453125" customWidth="1"/>
    <col min="3848" max="3848" width="8.7265625" customWidth="1"/>
    <col min="3849" max="3849" width="14" customWidth="1"/>
    <col min="3850" max="3850" width="14.7265625" customWidth="1"/>
    <col min="3851" max="3851" width="16.7265625" customWidth="1"/>
    <col min="3852" max="3852" width="41" customWidth="1"/>
    <col min="4097" max="4097" width="68" customWidth="1"/>
    <col min="4098" max="4099" width="13.1796875" customWidth="1"/>
    <col min="4100" max="4100" width="15.81640625" customWidth="1"/>
    <col min="4101" max="4101" width="14.7265625" customWidth="1"/>
    <col min="4102" max="4102" width="17.453125" customWidth="1"/>
    <col min="4103" max="4103" width="10.453125" customWidth="1"/>
    <col min="4104" max="4104" width="8.7265625" customWidth="1"/>
    <col min="4105" max="4105" width="14" customWidth="1"/>
    <col min="4106" max="4106" width="14.7265625" customWidth="1"/>
    <col min="4107" max="4107" width="16.7265625" customWidth="1"/>
    <col min="4108" max="4108" width="41" customWidth="1"/>
    <col min="4353" max="4353" width="68" customWidth="1"/>
    <col min="4354" max="4355" width="13.1796875" customWidth="1"/>
    <col min="4356" max="4356" width="15.81640625" customWidth="1"/>
    <col min="4357" max="4357" width="14.7265625" customWidth="1"/>
    <col min="4358" max="4358" width="17.453125" customWidth="1"/>
    <col min="4359" max="4359" width="10.453125" customWidth="1"/>
    <col min="4360" max="4360" width="8.7265625" customWidth="1"/>
    <col min="4361" max="4361" width="14" customWidth="1"/>
    <col min="4362" max="4362" width="14.7265625" customWidth="1"/>
    <col min="4363" max="4363" width="16.7265625" customWidth="1"/>
    <col min="4364" max="4364" width="41" customWidth="1"/>
    <col min="4609" max="4609" width="68" customWidth="1"/>
    <col min="4610" max="4611" width="13.1796875" customWidth="1"/>
    <col min="4612" max="4612" width="15.81640625" customWidth="1"/>
    <col min="4613" max="4613" width="14.7265625" customWidth="1"/>
    <col min="4614" max="4614" width="17.453125" customWidth="1"/>
    <col min="4615" max="4615" width="10.453125" customWidth="1"/>
    <col min="4616" max="4616" width="8.7265625" customWidth="1"/>
    <col min="4617" max="4617" width="14" customWidth="1"/>
    <col min="4618" max="4618" width="14.7265625" customWidth="1"/>
    <col min="4619" max="4619" width="16.7265625" customWidth="1"/>
    <col min="4620" max="4620" width="41" customWidth="1"/>
    <col min="4865" max="4865" width="68" customWidth="1"/>
    <col min="4866" max="4867" width="13.1796875" customWidth="1"/>
    <col min="4868" max="4868" width="15.81640625" customWidth="1"/>
    <col min="4869" max="4869" width="14.7265625" customWidth="1"/>
    <col min="4870" max="4870" width="17.453125" customWidth="1"/>
    <col min="4871" max="4871" width="10.453125" customWidth="1"/>
    <col min="4872" max="4872" width="8.7265625" customWidth="1"/>
    <col min="4873" max="4873" width="14" customWidth="1"/>
    <col min="4874" max="4874" width="14.7265625" customWidth="1"/>
    <col min="4875" max="4875" width="16.7265625" customWidth="1"/>
    <col min="4876" max="4876" width="41" customWidth="1"/>
    <col min="5121" max="5121" width="68" customWidth="1"/>
    <col min="5122" max="5123" width="13.1796875" customWidth="1"/>
    <col min="5124" max="5124" width="15.81640625" customWidth="1"/>
    <col min="5125" max="5125" width="14.7265625" customWidth="1"/>
    <col min="5126" max="5126" width="17.453125" customWidth="1"/>
    <col min="5127" max="5127" width="10.453125" customWidth="1"/>
    <col min="5128" max="5128" width="8.7265625" customWidth="1"/>
    <col min="5129" max="5129" width="14" customWidth="1"/>
    <col min="5130" max="5130" width="14.7265625" customWidth="1"/>
    <col min="5131" max="5131" width="16.7265625" customWidth="1"/>
    <col min="5132" max="5132" width="41" customWidth="1"/>
    <col min="5377" max="5377" width="68" customWidth="1"/>
    <col min="5378" max="5379" width="13.1796875" customWidth="1"/>
    <col min="5380" max="5380" width="15.81640625" customWidth="1"/>
    <col min="5381" max="5381" width="14.7265625" customWidth="1"/>
    <col min="5382" max="5382" width="17.453125" customWidth="1"/>
    <col min="5383" max="5383" width="10.453125" customWidth="1"/>
    <col min="5384" max="5384" width="8.7265625" customWidth="1"/>
    <col min="5385" max="5385" width="14" customWidth="1"/>
    <col min="5386" max="5386" width="14.7265625" customWidth="1"/>
    <col min="5387" max="5387" width="16.7265625" customWidth="1"/>
    <col min="5388" max="5388" width="41" customWidth="1"/>
    <col min="5633" max="5633" width="68" customWidth="1"/>
    <col min="5634" max="5635" width="13.1796875" customWidth="1"/>
    <col min="5636" max="5636" width="15.81640625" customWidth="1"/>
    <col min="5637" max="5637" width="14.7265625" customWidth="1"/>
    <col min="5638" max="5638" width="17.453125" customWidth="1"/>
    <col min="5639" max="5639" width="10.453125" customWidth="1"/>
    <col min="5640" max="5640" width="8.7265625" customWidth="1"/>
    <col min="5641" max="5641" width="14" customWidth="1"/>
    <col min="5642" max="5642" width="14.7265625" customWidth="1"/>
    <col min="5643" max="5643" width="16.7265625" customWidth="1"/>
    <col min="5644" max="5644" width="41" customWidth="1"/>
    <col min="5889" max="5889" width="68" customWidth="1"/>
    <col min="5890" max="5891" width="13.1796875" customWidth="1"/>
    <col min="5892" max="5892" width="15.81640625" customWidth="1"/>
    <col min="5893" max="5893" width="14.7265625" customWidth="1"/>
    <col min="5894" max="5894" width="17.453125" customWidth="1"/>
    <col min="5895" max="5895" width="10.453125" customWidth="1"/>
    <col min="5896" max="5896" width="8.7265625" customWidth="1"/>
    <col min="5897" max="5897" width="14" customWidth="1"/>
    <col min="5898" max="5898" width="14.7265625" customWidth="1"/>
    <col min="5899" max="5899" width="16.7265625" customWidth="1"/>
    <col min="5900" max="5900" width="41" customWidth="1"/>
    <col min="6145" max="6145" width="68" customWidth="1"/>
    <col min="6146" max="6147" width="13.1796875" customWidth="1"/>
    <col min="6148" max="6148" width="15.81640625" customWidth="1"/>
    <col min="6149" max="6149" width="14.7265625" customWidth="1"/>
    <col min="6150" max="6150" width="17.453125" customWidth="1"/>
    <col min="6151" max="6151" width="10.453125" customWidth="1"/>
    <col min="6152" max="6152" width="8.7265625" customWidth="1"/>
    <col min="6153" max="6153" width="14" customWidth="1"/>
    <col min="6154" max="6154" width="14.7265625" customWidth="1"/>
    <col min="6155" max="6155" width="16.7265625" customWidth="1"/>
    <col min="6156" max="6156" width="41" customWidth="1"/>
    <col min="6401" max="6401" width="68" customWidth="1"/>
    <col min="6402" max="6403" width="13.1796875" customWidth="1"/>
    <col min="6404" max="6404" width="15.81640625" customWidth="1"/>
    <col min="6405" max="6405" width="14.7265625" customWidth="1"/>
    <col min="6406" max="6406" width="17.453125" customWidth="1"/>
    <col min="6407" max="6407" width="10.453125" customWidth="1"/>
    <col min="6408" max="6408" width="8.7265625" customWidth="1"/>
    <col min="6409" max="6409" width="14" customWidth="1"/>
    <col min="6410" max="6410" width="14.7265625" customWidth="1"/>
    <col min="6411" max="6411" width="16.7265625" customWidth="1"/>
    <col min="6412" max="6412" width="41" customWidth="1"/>
    <col min="6657" max="6657" width="68" customWidth="1"/>
    <col min="6658" max="6659" width="13.1796875" customWidth="1"/>
    <col min="6660" max="6660" width="15.81640625" customWidth="1"/>
    <col min="6661" max="6661" width="14.7265625" customWidth="1"/>
    <col min="6662" max="6662" width="17.453125" customWidth="1"/>
    <col min="6663" max="6663" width="10.453125" customWidth="1"/>
    <col min="6664" max="6664" width="8.7265625" customWidth="1"/>
    <col min="6665" max="6665" width="14" customWidth="1"/>
    <col min="6666" max="6666" width="14.7265625" customWidth="1"/>
    <col min="6667" max="6667" width="16.7265625" customWidth="1"/>
    <col min="6668" max="6668" width="41" customWidth="1"/>
    <col min="6913" max="6913" width="68" customWidth="1"/>
    <col min="6914" max="6915" width="13.1796875" customWidth="1"/>
    <col min="6916" max="6916" width="15.81640625" customWidth="1"/>
    <col min="6917" max="6917" width="14.7265625" customWidth="1"/>
    <col min="6918" max="6918" width="17.453125" customWidth="1"/>
    <col min="6919" max="6919" width="10.453125" customWidth="1"/>
    <col min="6920" max="6920" width="8.7265625" customWidth="1"/>
    <col min="6921" max="6921" width="14" customWidth="1"/>
    <col min="6922" max="6922" width="14.7265625" customWidth="1"/>
    <col min="6923" max="6923" width="16.7265625" customWidth="1"/>
    <col min="6924" max="6924" width="41" customWidth="1"/>
    <col min="7169" max="7169" width="68" customWidth="1"/>
    <col min="7170" max="7171" width="13.1796875" customWidth="1"/>
    <col min="7172" max="7172" width="15.81640625" customWidth="1"/>
    <col min="7173" max="7173" width="14.7265625" customWidth="1"/>
    <col min="7174" max="7174" width="17.453125" customWidth="1"/>
    <col min="7175" max="7175" width="10.453125" customWidth="1"/>
    <col min="7176" max="7176" width="8.7265625" customWidth="1"/>
    <col min="7177" max="7177" width="14" customWidth="1"/>
    <col min="7178" max="7178" width="14.7265625" customWidth="1"/>
    <col min="7179" max="7179" width="16.7265625" customWidth="1"/>
    <col min="7180" max="7180" width="41" customWidth="1"/>
    <col min="7425" max="7425" width="68" customWidth="1"/>
    <col min="7426" max="7427" width="13.1796875" customWidth="1"/>
    <col min="7428" max="7428" width="15.81640625" customWidth="1"/>
    <col min="7429" max="7429" width="14.7265625" customWidth="1"/>
    <col min="7430" max="7430" width="17.453125" customWidth="1"/>
    <col min="7431" max="7431" width="10.453125" customWidth="1"/>
    <col min="7432" max="7432" width="8.7265625" customWidth="1"/>
    <col min="7433" max="7433" width="14" customWidth="1"/>
    <col min="7434" max="7434" width="14.7265625" customWidth="1"/>
    <col min="7435" max="7435" width="16.7265625" customWidth="1"/>
    <col min="7436" max="7436" width="41" customWidth="1"/>
    <col min="7681" max="7681" width="68" customWidth="1"/>
    <col min="7682" max="7683" width="13.1796875" customWidth="1"/>
    <col min="7684" max="7684" width="15.81640625" customWidth="1"/>
    <col min="7685" max="7685" width="14.7265625" customWidth="1"/>
    <col min="7686" max="7686" width="17.453125" customWidth="1"/>
    <col min="7687" max="7687" width="10.453125" customWidth="1"/>
    <col min="7688" max="7688" width="8.7265625" customWidth="1"/>
    <col min="7689" max="7689" width="14" customWidth="1"/>
    <col min="7690" max="7690" width="14.7265625" customWidth="1"/>
    <col min="7691" max="7691" width="16.7265625" customWidth="1"/>
    <col min="7692" max="7692" width="41" customWidth="1"/>
    <col min="7937" max="7937" width="68" customWidth="1"/>
    <col min="7938" max="7939" width="13.1796875" customWidth="1"/>
    <col min="7940" max="7940" width="15.81640625" customWidth="1"/>
    <col min="7941" max="7941" width="14.7265625" customWidth="1"/>
    <col min="7942" max="7942" width="17.453125" customWidth="1"/>
    <col min="7943" max="7943" width="10.453125" customWidth="1"/>
    <col min="7944" max="7944" width="8.7265625" customWidth="1"/>
    <col min="7945" max="7945" width="14" customWidth="1"/>
    <col min="7946" max="7946" width="14.7265625" customWidth="1"/>
    <col min="7947" max="7947" width="16.7265625" customWidth="1"/>
    <col min="7948" max="7948" width="41" customWidth="1"/>
    <col min="8193" max="8193" width="68" customWidth="1"/>
    <col min="8194" max="8195" width="13.1796875" customWidth="1"/>
    <col min="8196" max="8196" width="15.81640625" customWidth="1"/>
    <col min="8197" max="8197" width="14.7265625" customWidth="1"/>
    <col min="8198" max="8198" width="17.453125" customWidth="1"/>
    <col min="8199" max="8199" width="10.453125" customWidth="1"/>
    <col min="8200" max="8200" width="8.7265625" customWidth="1"/>
    <col min="8201" max="8201" width="14" customWidth="1"/>
    <col min="8202" max="8202" width="14.7265625" customWidth="1"/>
    <col min="8203" max="8203" width="16.7265625" customWidth="1"/>
    <col min="8204" max="8204" width="41" customWidth="1"/>
    <col min="8449" max="8449" width="68" customWidth="1"/>
    <col min="8450" max="8451" width="13.1796875" customWidth="1"/>
    <col min="8452" max="8452" width="15.81640625" customWidth="1"/>
    <col min="8453" max="8453" width="14.7265625" customWidth="1"/>
    <col min="8454" max="8454" width="17.453125" customWidth="1"/>
    <col min="8455" max="8455" width="10.453125" customWidth="1"/>
    <col min="8456" max="8456" width="8.7265625" customWidth="1"/>
    <col min="8457" max="8457" width="14" customWidth="1"/>
    <col min="8458" max="8458" width="14.7265625" customWidth="1"/>
    <col min="8459" max="8459" width="16.7265625" customWidth="1"/>
    <col min="8460" max="8460" width="41" customWidth="1"/>
    <col min="8705" max="8705" width="68" customWidth="1"/>
    <col min="8706" max="8707" width="13.1796875" customWidth="1"/>
    <col min="8708" max="8708" width="15.81640625" customWidth="1"/>
    <col min="8709" max="8709" width="14.7265625" customWidth="1"/>
    <col min="8710" max="8710" width="17.453125" customWidth="1"/>
    <col min="8711" max="8711" width="10.453125" customWidth="1"/>
    <col min="8712" max="8712" width="8.7265625" customWidth="1"/>
    <col min="8713" max="8713" width="14" customWidth="1"/>
    <col min="8714" max="8714" width="14.7265625" customWidth="1"/>
    <col min="8715" max="8715" width="16.7265625" customWidth="1"/>
    <col min="8716" max="8716" width="41" customWidth="1"/>
    <col min="8961" max="8961" width="68" customWidth="1"/>
    <col min="8962" max="8963" width="13.1796875" customWidth="1"/>
    <col min="8964" max="8964" width="15.81640625" customWidth="1"/>
    <col min="8965" max="8965" width="14.7265625" customWidth="1"/>
    <col min="8966" max="8966" width="17.453125" customWidth="1"/>
    <col min="8967" max="8967" width="10.453125" customWidth="1"/>
    <col min="8968" max="8968" width="8.7265625" customWidth="1"/>
    <col min="8969" max="8969" width="14" customWidth="1"/>
    <col min="8970" max="8970" width="14.7265625" customWidth="1"/>
    <col min="8971" max="8971" width="16.7265625" customWidth="1"/>
    <col min="8972" max="8972" width="41" customWidth="1"/>
    <col min="9217" max="9217" width="68" customWidth="1"/>
    <col min="9218" max="9219" width="13.1796875" customWidth="1"/>
    <col min="9220" max="9220" width="15.81640625" customWidth="1"/>
    <col min="9221" max="9221" width="14.7265625" customWidth="1"/>
    <col min="9222" max="9222" width="17.453125" customWidth="1"/>
    <col min="9223" max="9223" width="10.453125" customWidth="1"/>
    <col min="9224" max="9224" width="8.7265625" customWidth="1"/>
    <col min="9225" max="9225" width="14" customWidth="1"/>
    <col min="9226" max="9226" width="14.7265625" customWidth="1"/>
    <col min="9227" max="9227" width="16.7265625" customWidth="1"/>
    <col min="9228" max="9228" width="41" customWidth="1"/>
    <col min="9473" max="9473" width="68" customWidth="1"/>
    <col min="9474" max="9475" width="13.1796875" customWidth="1"/>
    <col min="9476" max="9476" width="15.81640625" customWidth="1"/>
    <col min="9477" max="9477" width="14.7265625" customWidth="1"/>
    <col min="9478" max="9478" width="17.453125" customWidth="1"/>
    <col min="9479" max="9479" width="10.453125" customWidth="1"/>
    <col min="9480" max="9480" width="8.7265625" customWidth="1"/>
    <col min="9481" max="9481" width="14" customWidth="1"/>
    <col min="9482" max="9482" width="14.7265625" customWidth="1"/>
    <col min="9483" max="9483" width="16.7265625" customWidth="1"/>
    <col min="9484" max="9484" width="41" customWidth="1"/>
    <col min="9729" max="9729" width="68" customWidth="1"/>
    <col min="9730" max="9731" width="13.1796875" customWidth="1"/>
    <col min="9732" max="9732" width="15.81640625" customWidth="1"/>
    <col min="9733" max="9733" width="14.7265625" customWidth="1"/>
    <col min="9734" max="9734" width="17.453125" customWidth="1"/>
    <col min="9735" max="9735" width="10.453125" customWidth="1"/>
    <col min="9736" max="9736" width="8.7265625" customWidth="1"/>
    <col min="9737" max="9737" width="14" customWidth="1"/>
    <col min="9738" max="9738" width="14.7265625" customWidth="1"/>
    <col min="9739" max="9739" width="16.7265625" customWidth="1"/>
    <col min="9740" max="9740" width="41" customWidth="1"/>
    <col min="9985" max="9985" width="68" customWidth="1"/>
    <col min="9986" max="9987" width="13.1796875" customWidth="1"/>
    <col min="9988" max="9988" width="15.81640625" customWidth="1"/>
    <col min="9989" max="9989" width="14.7265625" customWidth="1"/>
    <col min="9990" max="9990" width="17.453125" customWidth="1"/>
    <col min="9991" max="9991" width="10.453125" customWidth="1"/>
    <col min="9992" max="9992" width="8.7265625" customWidth="1"/>
    <col min="9993" max="9993" width="14" customWidth="1"/>
    <col min="9994" max="9994" width="14.7265625" customWidth="1"/>
    <col min="9995" max="9995" width="16.7265625" customWidth="1"/>
    <col min="9996" max="9996" width="41" customWidth="1"/>
    <col min="10241" max="10241" width="68" customWidth="1"/>
    <col min="10242" max="10243" width="13.1796875" customWidth="1"/>
    <col min="10244" max="10244" width="15.81640625" customWidth="1"/>
    <col min="10245" max="10245" width="14.7265625" customWidth="1"/>
    <col min="10246" max="10246" width="17.453125" customWidth="1"/>
    <col min="10247" max="10247" width="10.453125" customWidth="1"/>
    <col min="10248" max="10248" width="8.7265625" customWidth="1"/>
    <col min="10249" max="10249" width="14" customWidth="1"/>
    <col min="10250" max="10250" width="14.7265625" customWidth="1"/>
    <col min="10251" max="10251" width="16.7265625" customWidth="1"/>
    <col min="10252" max="10252" width="41" customWidth="1"/>
    <col min="10497" max="10497" width="68" customWidth="1"/>
    <col min="10498" max="10499" width="13.1796875" customWidth="1"/>
    <col min="10500" max="10500" width="15.81640625" customWidth="1"/>
    <col min="10501" max="10501" width="14.7265625" customWidth="1"/>
    <col min="10502" max="10502" width="17.453125" customWidth="1"/>
    <col min="10503" max="10503" width="10.453125" customWidth="1"/>
    <col min="10504" max="10504" width="8.7265625" customWidth="1"/>
    <col min="10505" max="10505" width="14" customWidth="1"/>
    <col min="10506" max="10506" width="14.7265625" customWidth="1"/>
    <col min="10507" max="10507" width="16.7265625" customWidth="1"/>
    <col min="10508" max="10508" width="41" customWidth="1"/>
    <col min="10753" max="10753" width="68" customWidth="1"/>
    <col min="10754" max="10755" width="13.1796875" customWidth="1"/>
    <col min="10756" max="10756" width="15.81640625" customWidth="1"/>
    <col min="10757" max="10757" width="14.7265625" customWidth="1"/>
    <col min="10758" max="10758" width="17.453125" customWidth="1"/>
    <col min="10759" max="10759" width="10.453125" customWidth="1"/>
    <col min="10760" max="10760" width="8.7265625" customWidth="1"/>
    <col min="10761" max="10761" width="14" customWidth="1"/>
    <col min="10762" max="10762" width="14.7265625" customWidth="1"/>
    <col min="10763" max="10763" width="16.7265625" customWidth="1"/>
    <col min="10764" max="10764" width="41" customWidth="1"/>
    <col min="11009" max="11009" width="68" customWidth="1"/>
    <col min="11010" max="11011" width="13.1796875" customWidth="1"/>
    <col min="11012" max="11012" width="15.81640625" customWidth="1"/>
    <col min="11013" max="11013" width="14.7265625" customWidth="1"/>
    <col min="11014" max="11014" width="17.453125" customWidth="1"/>
    <col min="11015" max="11015" width="10.453125" customWidth="1"/>
    <col min="11016" max="11016" width="8.7265625" customWidth="1"/>
    <col min="11017" max="11017" width="14" customWidth="1"/>
    <col min="11018" max="11018" width="14.7265625" customWidth="1"/>
    <col min="11019" max="11019" width="16.7265625" customWidth="1"/>
    <col min="11020" max="11020" width="41" customWidth="1"/>
    <col min="11265" max="11265" width="68" customWidth="1"/>
    <col min="11266" max="11267" width="13.1796875" customWidth="1"/>
    <col min="11268" max="11268" width="15.81640625" customWidth="1"/>
    <col min="11269" max="11269" width="14.7265625" customWidth="1"/>
    <col min="11270" max="11270" width="17.453125" customWidth="1"/>
    <col min="11271" max="11271" width="10.453125" customWidth="1"/>
    <col min="11272" max="11272" width="8.7265625" customWidth="1"/>
    <col min="11273" max="11273" width="14" customWidth="1"/>
    <col min="11274" max="11274" width="14.7265625" customWidth="1"/>
    <col min="11275" max="11275" width="16.7265625" customWidth="1"/>
    <col min="11276" max="11276" width="41" customWidth="1"/>
    <col min="11521" max="11521" width="68" customWidth="1"/>
    <col min="11522" max="11523" width="13.1796875" customWidth="1"/>
    <col min="11524" max="11524" width="15.81640625" customWidth="1"/>
    <col min="11525" max="11525" width="14.7265625" customWidth="1"/>
    <col min="11526" max="11526" width="17.453125" customWidth="1"/>
    <col min="11527" max="11527" width="10.453125" customWidth="1"/>
    <col min="11528" max="11528" width="8.7265625" customWidth="1"/>
    <col min="11529" max="11529" width="14" customWidth="1"/>
    <col min="11530" max="11530" width="14.7265625" customWidth="1"/>
    <col min="11531" max="11531" width="16.7265625" customWidth="1"/>
    <col min="11532" max="11532" width="41" customWidth="1"/>
    <col min="11777" max="11777" width="68" customWidth="1"/>
    <col min="11778" max="11779" width="13.1796875" customWidth="1"/>
    <col min="11780" max="11780" width="15.81640625" customWidth="1"/>
    <col min="11781" max="11781" width="14.7265625" customWidth="1"/>
    <col min="11782" max="11782" width="17.453125" customWidth="1"/>
    <col min="11783" max="11783" width="10.453125" customWidth="1"/>
    <col min="11784" max="11784" width="8.7265625" customWidth="1"/>
    <col min="11785" max="11785" width="14" customWidth="1"/>
    <col min="11786" max="11786" width="14.7265625" customWidth="1"/>
    <col min="11787" max="11787" width="16.7265625" customWidth="1"/>
    <col min="11788" max="11788" width="41" customWidth="1"/>
    <col min="12033" max="12033" width="68" customWidth="1"/>
    <col min="12034" max="12035" width="13.1796875" customWidth="1"/>
    <col min="12036" max="12036" width="15.81640625" customWidth="1"/>
    <col min="12037" max="12037" width="14.7265625" customWidth="1"/>
    <col min="12038" max="12038" width="17.453125" customWidth="1"/>
    <col min="12039" max="12039" width="10.453125" customWidth="1"/>
    <col min="12040" max="12040" width="8.7265625" customWidth="1"/>
    <col min="12041" max="12041" width="14" customWidth="1"/>
    <col min="12042" max="12042" width="14.7265625" customWidth="1"/>
    <col min="12043" max="12043" width="16.7265625" customWidth="1"/>
    <col min="12044" max="12044" width="41" customWidth="1"/>
    <col min="12289" max="12289" width="68" customWidth="1"/>
    <col min="12290" max="12291" width="13.1796875" customWidth="1"/>
    <col min="12292" max="12292" width="15.81640625" customWidth="1"/>
    <col min="12293" max="12293" width="14.7265625" customWidth="1"/>
    <col min="12294" max="12294" width="17.453125" customWidth="1"/>
    <col min="12295" max="12295" width="10.453125" customWidth="1"/>
    <col min="12296" max="12296" width="8.7265625" customWidth="1"/>
    <col min="12297" max="12297" width="14" customWidth="1"/>
    <col min="12298" max="12298" width="14.7265625" customWidth="1"/>
    <col min="12299" max="12299" width="16.7265625" customWidth="1"/>
    <col min="12300" max="12300" width="41" customWidth="1"/>
    <col min="12545" max="12545" width="68" customWidth="1"/>
    <col min="12546" max="12547" width="13.1796875" customWidth="1"/>
    <col min="12548" max="12548" width="15.81640625" customWidth="1"/>
    <col min="12549" max="12549" width="14.7265625" customWidth="1"/>
    <col min="12550" max="12550" width="17.453125" customWidth="1"/>
    <col min="12551" max="12551" width="10.453125" customWidth="1"/>
    <col min="12552" max="12552" width="8.7265625" customWidth="1"/>
    <col min="12553" max="12553" width="14" customWidth="1"/>
    <col min="12554" max="12554" width="14.7265625" customWidth="1"/>
    <col min="12555" max="12555" width="16.7265625" customWidth="1"/>
    <col min="12556" max="12556" width="41" customWidth="1"/>
    <col min="12801" max="12801" width="68" customWidth="1"/>
    <col min="12802" max="12803" width="13.1796875" customWidth="1"/>
    <col min="12804" max="12804" width="15.81640625" customWidth="1"/>
    <col min="12805" max="12805" width="14.7265625" customWidth="1"/>
    <col min="12806" max="12806" width="17.453125" customWidth="1"/>
    <col min="12807" max="12807" width="10.453125" customWidth="1"/>
    <col min="12808" max="12808" width="8.7265625" customWidth="1"/>
    <col min="12809" max="12809" width="14" customWidth="1"/>
    <col min="12810" max="12810" width="14.7265625" customWidth="1"/>
    <col min="12811" max="12811" width="16.7265625" customWidth="1"/>
    <col min="12812" max="12812" width="41" customWidth="1"/>
    <col min="13057" max="13057" width="68" customWidth="1"/>
    <col min="13058" max="13059" width="13.1796875" customWidth="1"/>
    <col min="13060" max="13060" width="15.81640625" customWidth="1"/>
    <col min="13061" max="13061" width="14.7265625" customWidth="1"/>
    <col min="13062" max="13062" width="17.453125" customWidth="1"/>
    <col min="13063" max="13063" width="10.453125" customWidth="1"/>
    <col min="13064" max="13064" width="8.7265625" customWidth="1"/>
    <col min="13065" max="13065" width="14" customWidth="1"/>
    <col min="13066" max="13066" width="14.7265625" customWidth="1"/>
    <col min="13067" max="13067" width="16.7265625" customWidth="1"/>
    <col min="13068" max="13068" width="41" customWidth="1"/>
    <col min="13313" max="13313" width="68" customWidth="1"/>
    <col min="13314" max="13315" width="13.1796875" customWidth="1"/>
    <col min="13316" max="13316" width="15.81640625" customWidth="1"/>
    <col min="13317" max="13317" width="14.7265625" customWidth="1"/>
    <col min="13318" max="13318" width="17.453125" customWidth="1"/>
    <col min="13319" max="13319" width="10.453125" customWidth="1"/>
    <col min="13320" max="13320" width="8.7265625" customWidth="1"/>
    <col min="13321" max="13321" width="14" customWidth="1"/>
    <col min="13322" max="13322" width="14.7265625" customWidth="1"/>
    <col min="13323" max="13323" width="16.7265625" customWidth="1"/>
    <col min="13324" max="13324" width="41" customWidth="1"/>
    <col min="13569" max="13569" width="68" customWidth="1"/>
    <col min="13570" max="13571" width="13.1796875" customWidth="1"/>
    <col min="13572" max="13572" width="15.81640625" customWidth="1"/>
    <col min="13573" max="13573" width="14.7265625" customWidth="1"/>
    <col min="13574" max="13574" width="17.453125" customWidth="1"/>
    <col min="13575" max="13575" width="10.453125" customWidth="1"/>
    <col min="13576" max="13576" width="8.7265625" customWidth="1"/>
    <col min="13577" max="13577" width="14" customWidth="1"/>
    <col min="13578" max="13578" width="14.7265625" customWidth="1"/>
    <col min="13579" max="13579" width="16.7265625" customWidth="1"/>
    <col min="13580" max="13580" width="41" customWidth="1"/>
    <col min="13825" max="13825" width="68" customWidth="1"/>
    <col min="13826" max="13827" width="13.1796875" customWidth="1"/>
    <col min="13828" max="13828" width="15.81640625" customWidth="1"/>
    <col min="13829" max="13829" width="14.7265625" customWidth="1"/>
    <col min="13830" max="13830" width="17.453125" customWidth="1"/>
    <col min="13831" max="13831" width="10.453125" customWidth="1"/>
    <col min="13832" max="13832" width="8.7265625" customWidth="1"/>
    <col min="13833" max="13833" width="14" customWidth="1"/>
    <col min="13834" max="13834" width="14.7265625" customWidth="1"/>
    <col min="13835" max="13835" width="16.7265625" customWidth="1"/>
    <col min="13836" max="13836" width="41" customWidth="1"/>
    <col min="14081" max="14081" width="68" customWidth="1"/>
    <col min="14082" max="14083" width="13.1796875" customWidth="1"/>
    <col min="14084" max="14084" width="15.81640625" customWidth="1"/>
    <col min="14085" max="14085" width="14.7265625" customWidth="1"/>
    <col min="14086" max="14086" width="17.453125" customWidth="1"/>
    <col min="14087" max="14087" width="10.453125" customWidth="1"/>
    <col min="14088" max="14088" width="8.7265625" customWidth="1"/>
    <col min="14089" max="14089" width="14" customWidth="1"/>
    <col min="14090" max="14090" width="14.7265625" customWidth="1"/>
    <col min="14091" max="14091" width="16.7265625" customWidth="1"/>
    <col min="14092" max="14092" width="41" customWidth="1"/>
    <col min="14337" max="14337" width="68" customWidth="1"/>
    <col min="14338" max="14339" width="13.1796875" customWidth="1"/>
    <col min="14340" max="14340" width="15.81640625" customWidth="1"/>
    <col min="14341" max="14341" width="14.7265625" customWidth="1"/>
    <col min="14342" max="14342" width="17.453125" customWidth="1"/>
    <col min="14343" max="14343" width="10.453125" customWidth="1"/>
    <col min="14344" max="14344" width="8.7265625" customWidth="1"/>
    <col min="14345" max="14345" width="14" customWidth="1"/>
    <col min="14346" max="14346" width="14.7265625" customWidth="1"/>
    <col min="14347" max="14347" width="16.7265625" customWidth="1"/>
    <col min="14348" max="14348" width="41" customWidth="1"/>
    <col min="14593" max="14593" width="68" customWidth="1"/>
    <col min="14594" max="14595" width="13.1796875" customWidth="1"/>
    <col min="14596" max="14596" width="15.81640625" customWidth="1"/>
    <col min="14597" max="14597" width="14.7265625" customWidth="1"/>
    <col min="14598" max="14598" width="17.453125" customWidth="1"/>
    <col min="14599" max="14599" width="10.453125" customWidth="1"/>
    <col min="14600" max="14600" width="8.7265625" customWidth="1"/>
    <col min="14601" max="14601" width="14" customWidth="1"/>
    <col min="14602" max="14602" width="14.7265625" customWidth="1"/>
    <col min="14603" max="14603" width="16.7265625" customWidth="1"/>
    <col min="14604" max="14604" width="41" customWidth="1"/>
    <col min="14849" max="14849" width="68" customWidth="1"/>
    <col min="14850" max="14851" width="13.1796875" customWidth="1"/>
    <col min="14852" max="14852" width="15.81640625" customWidth="1"/>
    <col min="14853" max="14853" width="14.7265625" customWidth="1"/>
    <col min="14854" max="14854" width="17.453125" customWidth="1"/>
    <col min="14855" max="14855" width="10.453125" customWidth="1"/>
    <col min="14856" max="14856" width="8.7265625" customWidth="1"/>
    <col min="14857" max="14857" width="14" customWidth="1"/>
    <col min="14858" max="14858" width="14.7265625" customWidth="1"/>
    <col min="14859" max="14859" width="16.7265625" customWidth="1"/>
    <col min="14860" max="14860" width="41" customWidth="1"/>
    <col min="15105" max="15105" width="68" customWidth="1"/>
    <col min="15106" max="15107" width="13.1796875" customWidth="1"/>
    <col min="15108" max="15108" width="15.81640625" customWidth="1"/>
    <col min="15109" max="15109" width="14.7265625" customWidth="1"/>
    <col min="15110" max="15110" width="17.453125" customWidth="1"/>
    <col min="15111" max="15111" width="10.453125" customWidth="1"/>
    <col min="15112" max="15112" width="8.7265625" customWidth="1"/>
    <col min="15113" max="15113" width="14" customWidth="1"/>
    <col min="15114" max="15114" width="14.7265625" customWidth="1"/>
    <col min="15115" max="15115" width="16.7265625" customWidth="1"/>
    <col min="15116" max="15116" width="41" customWidth="1"/>
    <col min="15361" max="15361" width="68" customWidth="1"/>
    <col min="15362" max="15363" width="13.1796875" customWidth="1"/>
    <col min="15364" max="15364" width="15.81640625" customWidth="1"/>
    <col min="15365" max="15365" width="14.7265625" customWidth="1"/>
    <col min="15366" max="15366" width="17.453125" customWidth="1"/>
    <col min="15367" max="15367" width="10.453125" customWidth="1"/>
    <col min="15368" max="15368" width="8.7265625" customWidth="1"/>
    <col min="15369" max="15369" width="14" customWidth="1"/>
    <col min="15370" max="15370" width="14.7265625" customWidth="1"/>
    <col min="15371" max="15371" width="16.7265625" customWidth="1"/>
    <col min="15372" max="15372" width="41" customWidth="1"/>
    <col min="15617" max="15617" width="68" customWidth="1"/>
    <col min="15618" max="15619" width="13.1796875" customWidth="1"/>
    <col min="15620" max="15620" width="15.81640625" customWidth="1"/>
    <col min="15621" max="15621" width="14.7265625" customWidth="1"/>
    <col min="15622" max="15622" width="17.453125" customWidth="1"/>
    <col min="15623" max="15623" width="10.453125" customWidth="1"/>
    <col min="15624" max="15624" width="8.7265625" customWidth="1"/>
    <col min="15625" max="15625" width="14" customWidth="1"/>
    <col min="15626" max="15626" width="14.7265625" customWidth="1"/>
    <col min="15627" max="15627" width="16.7265625" customWidth="1"/>
    <col min="15628" max="15628" width="41" customWidth="1"/>
    <col min="15873" max="15873" width="68" customWidth="1"/>
    <col min="15874" max="15875" width="13.1796875" customWidth="1"/>
    <col min="15876" max="15876" width="15.81640625" customWidth="1"/>
    <col min="15877" max="15877" width="14.7265625" customWidth="1"/>
    <col min="15878" max="15878" width="17.453125" customWidth="1"/>
    <col min="15879" max="15879" width="10.453125" customWidth="1"/>
    <col min="15880" max="15880" width="8.7265625" customWidth="1"/>
    <col min="15881" max="15881" width="14" customWidth="1"/>
    <col min="15882" max="15882" width="14.7265625" customWidth="1"/>
    <col min="15883" max="15883" width="16.7265625" customWidth="1"/>
    <col min="15884" max="15884" width="41" customWidth="1"/>
    <col min="16129" max="16129" width="68" customWidth="1"/>
    <col min="16130" max="16131" width="13.1796875" customWidth="1"/>
    <col min="16132" max="16132" width="15.81640625" customWidth="1"/>
    <col min="16133" max="16133" width="14.7265625" customWidth="1"/>
    <col min="16134" max="16134" width="17.453125" customWidth="1"/>
    <col min="16135" max="16135" width="10.453125" customWidth="1"/>
    <col min="16136" max="16136" width="8.7265625" customWidth="1"/>
    <col min="16137" max="16137" width="14" customWidth="1"/>
    <col min="16138" max="16138" width="14.7265625" customWidth="1"/>
    <col min="16139" max="16139" width="16.7265625" customWidth="1"/>
    <col min="16140" max="16140" width="41" customWidth="1"/>
  </cols>
  <sheetData>
    <row r="1" spans="1:12" ht="18" x14ac:dyDescent="0.25">
      <c r="A1" s="788" t="s">
        <v>1537</v>
      </c>
      <c r="B1" s="788" t="s">
        <v>1538</v>
      </c>
      <c r="C1" s="788" t="s">
        <v>1539</v>
      </c>
      <c r="D1" s="788" t="s">
        <v>1540</v>
      </c>
      <c r="E1" s="788" t="s">
        <v>1541</v>
      </c>
      <c r="F1" s="788" t="s">
        <v>1542</v>
      </c>
      <c r="G1" s="789"/>
      <c r="H1" s="789"/>
      <c r="I1" s="790"/>
    </row>
    <row r="2" spans="1:12" ht="18.5" thickBot="1" x14ac:dyDescent="0.45">
      <c r="A2" s="791">
        <f>(3.281*(E2*1.402/F2)^0.5)*12</f>
        <v>13580.79874143077</v>
      </c>
      <c r="B2" s="792">
        <v>70</v>
      </c>
      <c r="C2" s="792">
        <v>50</v>
      </c>
      <c r="D2" s="793">
        <v>0</v>
      </c>
      <c r="E2" s="791">
        <f>((((D2/3.281)/1000)-44.3308)/-4.94654)^(1/0.190263)</f>
        <v>101326.69658869405</v>
      </c>
      <c r="F2" s="794">
        <f>((E2*28.965-(28.965-18.02)*((6.1078*((0.99999683+((B2-32)*5/9)*((-0.90826951*10^-2)+((B2-32)*5/9)*((0.78736169*10^-4)+((B2-32)*5/9)*((-0.61117958*10^-6)+((B2-32)*5/9)*((0.43884187*10^-8)+((B2-32)*5/9)*((-0.29883885*10^-10)+((B2-32)*5/9)*((0.21874425*10^-12)+((B2-32)*5/9)*((-0.17892321*10^-14)+((B2-32)*5/9)*((0.11112018*10^-16)+((B2-32)*5/9)*((-0.30994571*10^-19))))))))))))^-8)*100)*C2/100)/(8.31451*(((B2-32)*5/9)+273.15)))/1000</f>
        <v>1.1939777235433457</v>
      </c>
      <c r="G2" s="789"/>
      <c r="H2" s="789"/>
      <c r="I2" s="790"/>
      <c r="L2" s="508" t="s">
        <v>1594</v>
      </c>
    </row>
    <row r="3" spans="1:12" ht="17.5" x14ac:dyDescent="0.25">
      <c r="A3" s="795"/>
      <c r="B3" s="789"/>
      <c r="C3" s="789"/>
      <c r="D3" s="789"/>
      <c r="E3" s="789"/>
      <c r="F3" s="789"/>
      <c r="G3" s="789"/>
      <c r="H3" s="789"/>
      <c r="I3" s="790"/>
    </row>
    <row r="4" spans="1:12" ht="15.5" x14ac:dyDescent="0.35">
      <c r="A4" s="789"/>
      <c r="B4" s="789"/>
      <c r="C4" s="796" t="s">
        <v>1543</v>
      </c>
      <c r="D4" s="797"/>
      <c r="E4" s="796" t="s">
        <v>1544</v>
      </c>
      <c r="F4" s="797"/>
      <c r="G4" s="796" t="s">
        <v>1545</v>
      </c>
      <c r="H4" s="789"/>
      <c r="I4" s="790"/>
    </row>
    <row r="5" spans="1:12" x14ac:dyDescent="0.25">
      <c r="A5" s="789"/>
      <c r="B5" s="789"/>
      <c r="C5" s="798"/>
      <c r="D5" s="789"/>
      <c r="E5" s="798"/>
      <c r="F5" s="789"/>
      <c r="G5" s="798"/>
      <c r="H5" s="789"/>
      <c r="I5" s="790"/>
    </row>
    <row r="6" spans="1:12" ht="13" x14ac:dyDescent="0.3">
      <c r="A6" s="799" t="s">
        <v>1546</v>
      </c>
      <c r="B6" s="799" t="s">
        <v>779</v>
      </c>
      <c r="C6" s="800">
        <v>40</v>
      </c>
      <c r="D6" s="801" t="s">
        <v>1547</v>
      </c>
      <c r="E6" s="800">
        <v>40</v>
      </c>
      <c r="F6" s="801" t="s">
        <v>1547</v>
      </c>
      <c r="G6" s="800">
        <v>40</v>
      </c>
      <c r="H6" s="801" t="s">
        <v>1547</v>
      </c>
      <c r="I6" s="790"/>
    </row>
    <row r="7" spans="1:12" ht="13" x14ac:dyDescent="0.3">
      <c r="A7" s="799" t="s">
        <v>1548</v>
      </c>
      <c r="B7" s="799" t="s">
        <v>1549</v>
      </c>
      <c r="C7" s="800">
        <v>100</v>
      </c>
      <c r="D7" s="801" t="s">
        <v>1547</v>
      </c>
      <c r="E7" s="800">
        <v>80</v>
      </c>
      <c r="F7" s="801" t="s">
        <v>1547</v>
      </c>
      <c r="G7" s="800">
        <v>80</v>
      </c>
      <c r="H7" s="801" t="s">
        <v>1547</v>
      </c>
      <c r="I7" s="790"/>
    </row>
    <row r="8" spans="1:12" ht="13" x14ac:dyDescent="0.3">
      <c r="A8" s="799" t="s">
        <v>1550</v>
      </c>
      <c r="B8" s="799" t="s">
        <v>1551</v>
      </c>
      <c r="C8" s="800">
        <v>40</v>
      </c>
      <c r="D8" s="801" t="s">
        <v>1547</v>
      </c>
      <c r="E8" s="800">
        <v>30</v>
      </c>
      <c r="F8" s="801" t="s">
        <v>1547</v>
      </c>
      <c r="G8" s="800">
        <v>40</v>
      </c>
      <c r="H8" s="801" t="s">
        <v>1547</v>
      </c>
      <c r="I8" s="790"/>
    </row>
    <row r="9" spans="1:12" ht="13" x14ac:dyDescent="0.3">
      <c r="A9" s="799" t="s">
        <v>666</v>
      </c>
      <c r="B9" s="799"/>
      <c r="C9" s="800">
        <v>100</v>
      </c>
      <c r="D9" s="801" t="s">
        <v>1552</v>
      </c>
      <c r="E9" s="800">
        <v>100</v>
      </c>
      <c r="F9" s="801" t="s">
        <v>1552</v>
      </c>
      <c r="G9" s="800">
        <v>100</v>
      </c>
      <c r="H9" s="801" t="s">
        <v>1552</v>
      </c>
      <c r="I9" s="790"/>
    </row>
    <row r="10" spans="1:12" ht="13" x14ac:dyDescent="0.3">
      <c r="A10" s="802" t="s">
        <v>1553</v>
      </c>
      <c r="B10" s="802" t="s">
        <v>1554</v>
      </c>
      <c r="C10" s="803">
        <f>C16*C6/(C16+1)</f>
        <v>28.571428571428573</v>
      </c>
      <c r="D10" s="803" t="s">
        <v>1547</v>
      </c>
      <c r="E10" s="803">
        <f>E16*E6/(E16+1)</f>
        <v>29.09090909090909</v>
      </c>
      <c r="F10" s="803" t="s">
        <v>1547</v>
      </c>
      <c r="G10" s="803">
        <f>G16*G6/(G16+1)</f>
        <v>26.666666666666668</v>
      </c>
      <c r="H10" s="803" t="s">
        <v>1547</v>
      </c>
      <c r="I10" s="790"/>
    </row>
    <row r="11" spans="1:12" ht="13" x14ac:dyDescent="0.3">
      <c r="A11" s="802" t="s">
        <v>1555</v>
      </c>
      <c r="B11" s="802" t="s">
        <v>1556</v>
      </c>
      <c r="C11" s="803">
        <f>(C7^2+C10^2)^0.5</f>
        <v>104.00156984686454</v>
      </c>
      <c r="D11" s="803" t="s">
        <v>1547</v>
      </c>
      <c r="E11" s="803">
        <f>(E7^2+E10^2)^0.5</f>
        <v>85.125090259779085</v>
      </c>
      <c r="F11" s="803" t="s">
        <v>1547</v>
      </c>
      <c r="G11" s="803">
        <f>(G7^2+G10^2)^0.5</f>
        <v>84.32740427115678</v>
      </c>
      <c r="H11" s="803" t="s">
        <v>1547</v>
      </c>
      <c r="I11" s="790"/>
    </row>
    <row r="12" spans="1:12" ht="13" x14ac:dyDescent="0.3">
      <c r="A12" s="802" t="s">
        <v>1557</v>
      </c>
      <c r="B12" s="802" t="s">
        <v>778</v>
      </c>
      <c r="C12" s="803">
        <f>C6-C10</f>
        <v>11.428571428571427</v>
      </c>
      <c r="D12" s="803" t="s">
        <v>1547</v>
      </c>
      <c r="E12" s="803">
        <f>E6-E10</f>
        <v>10.90909090909091</v>
      </c>
      <c r="F12" s="803" t="s">
        <v>1547</v>
      </c>
      <c r="G12" s="803">
        <f>G6-G10</f>
        <v>13.333333333333332</v>
      </c>
      <c r="H12" s="803" t="s">
        <v>1547</v>
      </c>
      <c r="I12" s="790"/>
    </row>
    <row r="13" spans="1:12" ht="13" x14ac:dyDescent="0.3">
      <c r="A13" s="802" t="s">
        <v>1558</v>
      </c>
      <c r="B13" s="802" t="s">
        <v>1559</v>
      </c>
      <c r="C13" s="803">
        <f>(C8^2+C12^2)^0.5</f>
        <v>41.600627938745816</v>
      </c>
      <c r="D13" s="803" t="s">
        <v>1547</v>
      </c>
      <c r="E13" s="803">
        <f>(E8^2+E12^2)^0.5</f>
        <v>31.921908847417161</v>
      </c>
      <c r="F13" s="803" t="s">
        <v>1547</v>
      </c>
      <c r="G13" s="803">
        <f>(G8^2+G12^2)^0.5</f>
        <v>42.16370213557839</v>
      </c>
      <c r="H13" s="803" t="s">
        <v>1547</v>
      </c>
      <c r="I13" s="790"/>
    </row>
    <row r="14" spans="1:12" ht="13" x14ac:dyDescent="0.3">
      <c r="A14" s="802" t="s">
        <v>1560</v>
      </c>
      <c r="B14" s="802" t="s">
        <v>1561</v>
      </c>
      <c r="C14" s="803">
        <f>(C6^2+(C7-C8)^2)^0.5</f>
        <v>72.111025509279784</v>
      </c>
      <c r="D14" s="803" t="s">
        <v>1547</v>
      </c>
      <c r="E14" s="803">
        <f>(E6^2+(E7-E8)^2)^0.5</f>
        <v>64.031242374328485</v>
      </c>
      <c r="F14" s="803" t="s">
        <v>1547</v>
      </c>
      <c r="G14" s="803">
        <f>(G6^2+(G7-G8)^2)^0.5</f>
        <v>56.568542494923804</v>
      </c>
      <c r="H14" s="803" t="s">
        <v>1547</v>
      </c>
      <c r="I14" s="790"/>
    </row>
    <row r="15" spans="1:12" ht="13" x14ac:dyDescent="0.3">
      <c r="A15" s="802" t="s">
        <v>1562</v>
      </c>
      <c r="B15" s="802"/>
      <c r="C15" s="803">
        <f>(C13+C11)-C14</f>
        <v>73.491172276330587</v>
      </c>
      <c r="D15" s="803" t="s">
        <v>1547</v>
      </c>
      <c r="E15" s="803">
        <f>(E13+E11)-E14</f>
        <v>53.015756732867757</v>
      </c>
      <c r="F15" s="803" t="s">
        <v>1547</v>
      </c>
      <c r="G15" s="803">
        <f>(G13+G11)-G14</f>
        <v>69.922563911811366</v>
      </c>
      <c r="H15" s="803" t="s">
        <v>1547</v>
      </c>
      <c r="I15" s="790"/>
    </row>
    <row r="16" spans="1:12" ht="13" x14ac:dyDescent="0.3">
      <c r="A16" s="802" t="s">
        <v>1563</v>
      </c>
      <c r="B16" s="802" t="s">
        <v>1564</v>
      </c>
      <c r="C16" s="803">
        <f>C7/C8</f>
        <v>2.5</v>
      </c>
      <c r="D16" s="803" t="s">
        <v>1547</v>
      </c>
      <c r="E16" s="803">
        <f>E7/E8</f>
        <v>2.6666666666666665</v>
      </c>
      <c r="F16" s="803" t="s">
        <v>1547</v>
      </c>
      <c r="G16" s="803">
        <f>G7/G8</f>
        <v>2</v>
      </c>
      <c r="H16" s="803" t="s">
        <v>1547</v>
      </c>
      <c r="I16" s="790"/>
    </row>
    <row r="17" spans="1:9" ht="13" x14ac:dyDescent="0.3">
      <c r="A17" s="804" t="s">
        <v>1565</v>
      </c>
      <c r="B17" s="804"/>
      <c r="C17" s="805">
        <f>360*C9*C15/$A$2</f>
        <v>194.81050064284892</v>
      </c>
      <c r="D17" s="805" t="s">
        <v>1566</v>
      </c>
      <c r="E17" s="805">
        <f>360*E9*E15/$A$2</f>
        <v>140.53424093244217</v>
      </c>
      <c r="F17" s="805" t="s">
        <v>1566</v>
      </c>
      <c r="G17" s="805">
        <f>360*G9*G15/$A$2</f>
        <v>185.35082867740186</v>
      </c>
      <c r="H17" s="805" t="s">
        <v>1566</v>
      </c>
      <c r="I17" s="790"/>
    </row>
    <row r="18" spans="1:9" ht="13" x14ac:dyDescent="0.3">
      <c r="A18" s="804" t="s">
        <v>1567</v>
      </c>
      <c r="B18" s="804"/>
      <c r="C18" s="805">
        <f>2*PI()*C9*C15/$A$2</f>
        <v>3.4000846536762439</v>
      </c>
      <c r="D18" s="805" t="s">
        <v>1568</v>
      </c>
      <c r="E18" s="805">
        <f>2*PI()*E9*E15/$A$2</f>
        <v>2.452785216062102</v>
      </c>
      <c r="F18" s="805" t="s">
        <v>1568</v>
      </c>
      <c r="G18" s="805">
        <f>2*PI()*G9*G15/$A$2</f>
        <v>3.234982231720589</v>
      </c>
      <c r="H18" s="805" t="s">
        <v>1568</v>
      </c>
      <c r="I18" s="790"/>
    </row>
    <row r="19" spans="1:9" ht="13" x14ac:dyDescent="0.3">
      <c r="A19" s="806" t="s">
        <v>1569</v>
      </c>
      <c r="B19" s="806"/>
      <c r="C19" s="807">
        <f>0.5*$A$2/C15</f>
        <v>92.397483403627504</v>
      </c>
      <c r="D19" s="807" t="s">
        <v>1552</v>
      </c>
      <c r="E19" s="807">
        <f>0.5*$A$2/E15</f>
        <v>128.0826642714994</v>
      </c>
      <c r="F19" s="807" t="s">
        <v>1552</v>
      </c>
      <c r="G19" s="807">
        <f>0.5*$A$2/G15</f>
        <v>97.113134742594099</v>
      </c>
      <c r="H19" s="807" t="s">
        <v>1552</v>
      </c>
      <c r="I19" s="790"/>
    </row>
    <row r="20" spans="1:9" ht="13" x14ac:dyDescent="0.3">
      <c r="A20" s="808" t="s">
        <v>1570</v>
      </c>
      <c r="B20" s="808"/>
      <c r="C20" s="809">
        <f>$A$2/C15</f>
        <v>184.79496680725501</v>
      </c>
      <c r="D20" s="809" t="s">
        <v>1552</v>
      </c>
      <c r="E20" s="809">
        <f>$A$2/E15</f>
        <v>256.16532854299879</v>
      </c>
      <c r="F20" s="809" t="s">
        <v>1552</v>
      </c>
      <c r="G20" s="809">
        <f>$A$2/G15</f>
        <v>194.2262694851882</v>
      </c>
      <c r="H20" s="809" t="s">
        <v>1552</v>
      </c>
      <c r="I20" s="790"/>
    </row>
    <row r="21" spans="1:9" ht="13" customHeight="1" x14ac:dyDescent="0.3">
      <c r="A21" s="810"/>
      <c r="B21" s="810"/>
      <c r="C21" s="886" t="s">
        <v>1571</v>
      </c>
      <c r="D21" s="887"/>
      <c r="E21" s="886" t="s">
        <v>1572</v>
      </c>
      <c r="F21" s="887"/>
      <c r="G21" s="886" t="s">
        <v>1573</v>
      </c>
      <c r="H21" s="887"/>
      <c r="I21" s="790"/>
    </row>
    <row r="22" spans="1:9" ht="13" customHeight="1" x14ac:dyDescent="0.3">
      <c r="A22" s="810"/>
      <c r="B22" s="810"/>
      <c r="C22" s="888"/>
      <c r="D22" s="889"/>
      <c r="E22" s="888"/>
      <c r="F22" s="889"/>
      <c r="G22" s="888"/>
      <c r="H22" s="889"/>
      <c r="I22" s="790"/>
    </row>
    <row r="23" spans="1:9" ht="13" x14ac:dyDescent="0.3">
      <c r="A23" s="811" t="s">
        <v>1574</v>
      </c>
      <c r="B23" s="811"/>
      <c r="C23" s="812">
        <f>(C19*E19)^0.5</f>
        <v>108.7865609637434</v>
      </c>
      <c r="D23" s="811" t="s">
        <v>1552</v>
      </c>
      <c r="E23" s="812">
        <f>(E19*G19)^0.5</f>
        <v>111.5280638834395</v>
      </c>
      <c r="F23" s="812" t="s">
        <v>1552</v>
      </c>
      <c r="G23" s="812">
        <f>(G19*C19)^0.5</f>
        <v>94.72596927798142</v>
      </c>
      <c r="H23" s="812" t="s">
        <v>1552</v>
      </c>
      <c r="I23" s="790"/>
    </row>
    <row r="24" spans="1:9" ht="13" x14ac:dyDescent="0.3">
      <c r="A24" s="811"/>
      <c r="B24" s="811"/>
      <c r="C24" s="812">
        <f>((1.5*$A$2/C$15)*(1.5*$A$2/E$15))^0.5</f>
        <v>326.35968289123019</v>
      </c>
      <c r="D24" s="811" t="s">
        <v>1552</v>
      </c>
      <c r="E24" s="812">
        <f>((1.5*$A$2/E$15)*(1.5*$A$2/G$15))^0.5</f>
        <v>334.58419165031853</v>
      </c>
      <c r="F24" s="812" t="s">
        <v>1552</v>
      </c>
      <c r="G24" s="812">
        <f>((1.5*$A$2/G$15)*(1.5*$A$2/C$15))^0.5</f>
        <v>284.17790783394423</v>
      </c>
      <c r="H24" s="812" t="s">
        <v>1552</v>
      </c>
      <c r="I24" s="790"/>
    </row>
    <row r="25" spans="1:9" ht="13" x14ac:dyDescent="0.3">
      <c r="A25" s="811"/>
      <c r="B25" s="811"/>
      <c r="C25" s="812">
        <f>((2.5*$A$2/C$15)*(2.5*$A$2/E$15))^0.5</f>
        <v>543.93280481871693</v>
      </c>
      <c r="D25" s="811" t="s">
        <v>1552</v>
      </c>
      <c r="E25" s="812">
        <f>((2.5*$A$2/E$15)*(2.5*$A$2/G$15))^0.5</f>
        <v>557.64031941719759</v>
      </c>
      <c r="F25" s="812" t="s">
        <v>1552</v>
      </c>
      <c r="G25" s="812">
        <f>((2.5*$A$2/G$15)*(2.5*$A$2/C$15))^0.5</f>
        <v>473.62984638990707</v>
      </c>
      <c r="H25" s="812" t="s">
        <v>1552</v>
      </c>
      <c r="I25" s="790"/>
    </row>
    <row r="26" spans="1:9" ht="13" x14ac:dyDescent="0.3">
      <c r="A26" s="811"/>
      <c r="B26" s="811"/>
      <c r="C26" s="812">
        <f>((3.5*$A$2/C$15)*(3.5*$A$2/E$15))^0.5</f>
        <v>761.50592674620373</v>
      </c>
      <c r="D26" s="811" t="s">
        <v>1552</v>
      </c>
      <c r="E26" s="812">
        <f>((3.5*$A$2/E$15)*(3.5*$A$2/G$15))^0.5</f>
        <v>780.69644718407653</v>
      </c>
      <c r="F26" s="812" t="s">
        <v>1552</v>
      </c>
      <c r="G26" s="812">
        <f>((3.5*$A$2/G$15)*(3.5*$A$2/C$15))^0.5</f>
        <v>663.08178494586991</v>
      </c>
      <c r="H26" s="812" t="s">
        <v>1552</v>
      </c>
      <c r="I26" s="790"/>
    </row>
    <row r="27" spans="1:9" ht="13" x14ac:dyDescent="0.3">
      <c r="A27" s="811"/>
      <c r="B27" s="811"/>
      <c r="C27" s="812">
        <f>((4.5*$A$2/C$15)*(4.5*$A$2/E$15))^0.5</f>
        <v>979.07904867369064</v>
      </c>
      <c r="D27" s="811" t="s">
        <v>1552</v>
      </c>
      <c r="E27" s="812">
        <f>((4.5*$A$2/E$15)*(4.5*$A$2/G$15))^0.5</f>
        <v>1003.7525749509557</v>
      </c>
      <c r="F27" s="812" t="s">
        <v>1552</v>
      </c>
      <c r="G27" s="812">
        <f>((4.5*$A$2/G$15)*(4.5*$A$2/C$15))^0.5</f>
        <v>852.53372350183281</v>
      </c>
      <c r="H27" s="812" t="s">
        <v>1552</v>
      </c>
      <c r="I27" s="790"/>
    </row>
    <row r="28" spans="1:9" ht="13" x14ac:dyDescent="0.3">
      <c r="A28" s="811"/>
      <c r="B28" s="811"/>
      <c r="C28" s="812">
        <f>((5.5*$A$2/C$15)*(5.5*$A$2/E$15))^0.5</f>
        <v>1196.6521706011772</v>
      </c>
      <c r="D28" s="811" t="s">
        <v>1552</v>
      </c>
      <c r="E28" s="812">
        <f>((5.5*$A$2/E$15)*(5.5*$A$2/G$15))^0.5</f>
        <v>1226.8087027178346</v>
      </c>
      <c r="F28" s="812" t="s">
        <v>1552</v>
      </c>
      <c r="G28" s="812">
        <f>((5.5*$A$2/G$15)*(5.5*$A$2/C$15))^0.5</f>
        <v>1041.9856620577957</v>
      </c>
      <c r="H28" s="812" t="s">
        <v>1552</v>
      </c>
      <c r="I28" s="790"/>
    </row>
    <row r="29" spans="1:9" ht="13" x14ac:dyDescent="0.3">
      <c r="A29" s="811"/>
      <c r="B29" s="811"/>
      <c r="C29" s="812">
        <f>((6.5*$A$2/C$15)*(6.5*$A$2/E$15))^0.5</f>
        <v>1414.2252925286641</v>
      </c>
      <c r="D29" s="811" t="s">
        <v>1552</v>
      </c>
      <c r="E29" s="812">
        <f>((6.5*$A$2/E$15)*(6.5*$A$2/G$15))^0.5</f>
        <v>1449.8648304847136</v>
      </c>
      <c r="F29" s="812" t="s">
        <v>1552</v>
      </c>
      <c r="G29" s="812">
        <f>((6.5*$A$2/G$15)*(6.5*$A$2/C$15))^0.5</f>
        <v>1231.4376006137584</v>
      </c>
      <c r="H29" s="812" t="s">
        <v>1552</v>
      </c>
      <c r="I29" s="790"/>
    </row>
    <row r="30" spans="1:9" ht="13" x14ac:dyDescent="0.3">
      <c r="A30" s="813"/>
      <c r="B30" s="813"/>
      <c r="C30" s="814"/>
      <c r="D30" s="815"/>
      <c r="E30" s="814"/>
      <c r="F30" s="814"/>
      <c r="G30" s="814"/>
      <c r="H30" s="814"/>
      <c r="I30" s="790"/>
    </row>
    <row r="31" spans="1:9" ht="13" x14ac:dyDescent="0.3">
      <c r="A31" s="806" t="s">
        <v>1575</v>
      </c>
      <c r="B31" s="806"/>
      <c r="C31" s="807">
        <f>C14-E14</f>
        <v>8.079783134951299</v>
      </c>
      <c r="D31" s="807" t="s">
        <v>1547</v>
      </c>
      <c r="E31" s="807">
        <f>E14-G14</f>
        <v>7.4626998794046813</v>
      </c>
      <c r="F31" s="807" t="s">
        <v>1547</v>
      </c>
      <c r="G31" s="807">
        <f>C14-G14</f>
        <v>15.54248301435598</v>
      </c>
      <c r="H31" s="807" t="s">
        <v>1547</v>
      </c>
      <c r="I31" s="790"/>
    </row>
    <row r="32" spans="1:9" ht="13" x14ac:dyDescent="0.3">
      <c r="A32" s="808" t="s">
        <v>1576</v>
      </c>
      <c r="B32" s="808"/>
      <c r="C32" s="809">
        <f>C31*C9*360/$A$2</f>
        <v>21.417900257286536</v>
      </c>
      <c r="D32" s="809" t="s">
        <v>1577</v>
      </c>
      <c r="E32" s="809">
        <f>E31*E9*360/$A$2</f>
        <v>19.782135113966415</v>
      </c>
      <c r="F32" s="809" t="s">
        <v>1577</v>
      </c>
      <c r="G32" s="809">
        <f>G31*G9*360/$A$2</f>
        <v>41.200035371252952</v>
      </c>
      <c r="H32" s="809" t="s">
        <v>1577</v>
      </c>
      <c r="I32" s="790"/>
    </row>
    <row r="33" spans="1:9" ht="13" x14ac:dyDescent="0.3">
      <c r="A33" s="810"/>
      <c r="B33" s="810"/>
      <c r="C33" s="816"/>
      <c r="D33" s="552"/>
      <c r="E33" s="816"/>
      <c r="F33" s="552"/>
      <c r="G33" s="816"/>
      <c r="H33" s="552"/>
      <c r="I33" s="790"/>
    </row>
    <row r="34" spans="1:9" ht="13" x14ac:dyDescent="0.3">
      <c r="A34" s="806" t="s">
        <v>1578</v>
      </c>
      <c r="B34" s="806"/>
      <c r="C34" s="807">
        <f>1000*(C15)/$A$2</f>
        <v>5.4114027956346931</v>
      </c>
      <c r="D34" s="807" t="s">
        <v>1579</v>
      </c>
      <c r="E34" s="807">
        <f>1000*(E15)/$A$2</f>
        <v>3.9037289147900602</v>
      </c>
      <c r="F34" s="807" t="s">
        <v>1579</v>
      </c>
      <c r="G34" s="807">
        <f>1000*(G15)/$A$2</f>
        <v>5.1486341299278289</v>
      </c>
      <c r="H34" s="807" t="s">
        <v>1579</v>
      </c>
      <c r="I34" s="790"/>
    </row>
    <row r="35" spans="1:9" ht="13" x14ac:dyDescent="0.3">
      <c r="A35" s="808" t="s">
        <v>1580</v>
      </c>
      <c r="B35" s="808"/>
      <c r="C35" s="809">
        <f>1000/C34</f>
        <v>184.79496680725501</v>
      </c>
      <c r="D35" s="809" t="s">
        <v>1552</v>
      </c>
      <c r="E35" s="809">
        <f>1000/E34</f>
        <v>256.16532854299879</v>
      </c>
      <c r="F35" s="809" t="s">
        <v>1552</v>
      </c>
      <c r="G35" s="809">
        <f>1000/G34</f>
        <v>194.2262694851882</v>
      </c>
      <c r="H35" s="809" t="s">
        <v>1552</v>
      </c>
      <c r="I35" s="790"/>
    </row>
    <row r="36" spans="1:9" ht="13" x14ac:dyDescent="0.3">
      <c r="A36" s="810"/>
      <c r="B36" s="810"/>
      <c r="C36" s="810"/>
      <c r="D36" s="810"/>
      <c r="E36" s="810"/>
      <c r="F36" s="810"/>
      <c r="G36" s="810"/>
      <c r="H36" s="810"/>
      <c r="I36" s="790"/>
    </row>
    <row r="37" spans="1:9" ht="13" x14ac:dyDescent="0.3">
      <c r="A37" s="817"/>
      <c r="B37" s="810"/>
      <c r="C37" s="810"/>
      <c r="D37" s="810"/>
      <c r="E37" s="810"/>
      <c r="F37" s="810"/>
      <c r="G37" s="810"/>
      <c r="H37" s="810"/>
      <c r="I37" s="790"/>
    </row>
    <row r="38" spans="1:9" ht="13" x14ac:dyDescent="0.3">
      <c r="A38" s="817"/>
      <c r="B38" s="810"/>
      <c r="C38" s="810"/>
      <c r="D38" s="810"/>
      <c r="E38" s="810"/>
      <c r="F38" s="810"/>
      <c r="G38" s="810"/>
      <c r="H38" s="810"/>
      <c r="I38" s="790"/>
    </row>
    <row r="39" spans="1:9" x14ac:dyDescent="0.25">
      <c r="A39" s="790"/>
      <c r="B39" s="790"/>
      <c r="C39" s="790"/>
      <c r="D39" s="790"/>
      <c r="E39" s="790"/>
      <c r="F39" s="790"/>
      <c r="G39" s="790"/>
      <c r="H39" s="790"/>
      <c r="I39" s="790"/>
    </row>
    <row r="40" spans="1:9" x14ac:dyDescent="0.25">
      <c r="A40" s="790"/>
      <c r="B40" s="790"/>
      <c r="C40" s="790"/>
      <c r="D40" s="790"/>
      <c r="E40" s="790"/>
      <c r="F40" s="790"/>
      <c r="G40" s="790"/>
      <c r="H40" s="790"/>
      <c r="I40" s="790"/>
    </row>
    <row r="41" spans="1:9" x14ac:dyDescent="0.25">
      <c r="A41" s="790"/>
      <c r="B41" s="790"/>
      <c r="C41" s="790"/>
      <c r="D41" s="790"/>
      <c r="E41" s="790"/>
      <c r="F41" s="790"/>
      <c r="G41" s="790"/>
      <c r="H41" s="790"/>
      <c r="I41" s="790"/>
    </row>
    <row r="42" spans="1:9" x14ac:dyDescent="0.25">
      <c r="A42" s="790"/>
      <c r="B42" s="790"/>
      <c r="C42" s="790"/>
      <c r="D42" s="790"/>
      <c r="E42" s="790"/>
      <c r="F42" s="790"/>
      <c r="G42" s="790"/>
      <c r="H42" s="790"/>
      <c r="I42" s="790"/>
    </row>
    <row r="43" spans="1:9" x14ac:dyDescent="0.25">
      <c r="A43" s="790"/>
      <c r="B43" s="790"/>
      <c r="C43" s="790"/>
      <c r="D43" s="790"/>
      <c r="E43" s="790"/>
      <c r="F43" s="790"/>
      <c r="G43" s="790"/>
      <c r="H43" s="790"/>
      <c r="I43" s="790"/>
    </row>
    <row r="44" spans="1:9" x14ac:dyDescent="0.25">
      <c r="A44" s="790"/>
      <c r="B44" s="790"/>
      <c r="C44" s="790"/>
      <c r="D44" s="790"/>
      <c r="E44" s="790"/>
      <c r="F44" s="790"/>
      <c r="G44" s="790"/>
      <c r="H44" s="790"/>
      <c r="I44" s="790"/>
    </row>
    <row r="45" spans="1:9" x14ac:dyDescent="0.25">
      <c r="A45" s="790"/>
      <c r="B45" s="790"/>
      <c r="C45" s="790"/>
      <c r="D45" s="790"/>
      <c r="E45" s="790"/>
      <c r="F45" s="790"/>
      <c r="G45" s="790"/>
      <c r="H45" s="790"/>
      <c r="I45" s="790"/>
    </row>
    <row r="46" spans="1:9" x14ac:dyDescent="0.25">
      <c r="A46" s="790"/>
      <c r="B46" s="790"/>
      <c r="C46" s="790"/>
      <c r="D46" s="790"/>
      <c r="E46" s="790"/>
      <c r="F46" s="790"/>
      <c r="G46" s="790"/>
      <c r="H46" s="790"/>
      <c r="I46" s="790"/>
    </row>
    <row r="47" spans="1:9" x14ac:dyDescent="0.25">
      <c r="A47" s="790"/>
      <c r="B47" s="790"/>
      <c r="C47" s="790"/>
      <c r="D47" s="790"/>
      <c r="E47" s="790"/>
      <c r="F47" s="790"/>
      <c r="G47" s="790"/>
      <c r="H47" s="790"/>
      <c r="I47" s="790"/>
    </row>
    <row r="48" spans="1:9" x14ac:dyDescent="0.25">
      <c r="A48" s="790"/>
      <c r="B48" s="790"/>
      <c r="C48" s="790"/>
      <c r="D48" s="790"/>
      <c r="E48" s="790"/>
      <c r="F48" s="790"/>
      <c r="G48" s="790"/>
      <c r="H48" s="790"/>
      <c r="I48" s="790"/>
    </row>
    <row r="49" spans="1:9" x14ac:dyDescent="0.25">
      <c r="A49" s="790"/>
      <c r="B49" s="790"/>
      <c r="C49" s="790"/>
      <c r="D49" s="790"/>
      <c r="E49" s="790"/>
      <c r="F49" s="790"/>
      <c r="G49" s="790"/>
      <c r="H49" s="790"/>
      <c r="I49" s="790"/>
    </row>
    <row r="50" spans="1:9" x14ac:dyDescent="0.25">
      <c r="A50" s="790"/>
      <c r="B50" s="790"/>
      <c r="C50" s="790"/>
      <c r="D50" s="790"/>
      <c r="E50" s="790"/>
      <c r="F50" s="790"/>
      <c r="G50" s="790"/>
      <c r="H50" s="790"/>
      <c r="I50" s="790"/>
    </row>
    <row r="51" spans="1:9" x14ac:dyDescent="0.25">
      <c r="A51" s="790"/>
      <c r="B51" s="790"/>
      <c r="C51" s="790"/>
      <c r="D51" s="790"/>
      <c r="E51" s="790"/>
      <c r="F51" s="790"/>
      <c r="G51" s="790"/>
      <c r="H51" s="790"/>
      <c r="I51" s="790"/>
    </row>
    <row r="52" spans="1:9" x14ac:dyDescent="0.25">
      <c r="A52" s="790"/>
      <c r="B52" s="790"/>
      <c r="C52" s="790"/>
      <c r="D52" s="790"/>
      <c r="E52" s="790"/>
      <c r="F52" s="790"/>
      <c r="G52" s="790"/>
      <c r="H52" s="790"/>
      <c r="I52" s="790"/>
    </row>
    <row r="53" spans="1:9" x14ac:dyDescent="0.25">
      <c r="A53" s="790"/>
      <c r="B53" s="790"/>
      <c r="C53" s="790"/>
      <c r="D53" s="790"/>
      <c r="E53" s="790"/>
      <c r="F53" s="790"/>
      <c r="G53" s="790"/>
      <c r="H53" s="790"/>
      <c r="I53" s="790"/>
    </row>
    <row r="54" spans="1:9" x14ac:dyDescent="0.25">
      <c r="A54" s="790"/>
      <c r="B54" s="790"/>
      <c r="C54" s="790"/>
      <c r="D54" s="790"/>
      <c r="E54" s="790"/>
      <c r="F54" s="790"/>
      <c r="G54" s="790"/>
      <c r="H54" s="790"/>
      <c r="I54" s="790"/>
    </row>
    <row r="55" spans="1:9" x14ac:dyDescent="0.25">
      <c r="A55" s="790"/>
      <c r="B55" s="790"/>
      <c r="C55" s="790"/>
      <c r="D55" s="790"/>
      <c r="E55" s="790"/>
      <c r="F55" s="790"/>
      <c r="G55" s="790"/>
      <c r="H55" s="790"/>
      <c r="I55" s="790"/>
    </row>
    <row r="56" spans="1:9" x14ac:dyDescent="0.25">
      <c r="A56" s="790"/>
      <c r="B56" s="790"/>
      <c r="C56" s="790"/>
      <c r="D56" s="790"/>
      <c r="E56" s="790"/>
      <c r="F56" s="790"/>
      <c r="G56" s="790"/>
      <c r="H56" s="790"/>
      <c r="I56" s="790"/>
    </row>
    <row r="57" spans="1:9" x14ac:dyDescent="0.25">
      <c r="A57" s="790"/>
      <c r="B57" s="790"/>
      <c r="C57" s="790"/>
      <c r="D57" s="790"/>
      <c r="E57" s="790"/>
      <c r="F57" s="790"/>
      <c r="G57" s="790"/>
      <c r="H57" s="790"/>
      <c r="I57" s="790"/>
    </row>
  </sheetData>
  <mergeCells count="3">
    <mergeCell ref="C21:D22"/>
    <mergeCell ref="E21:F22"/>
    <mergeCell ref="G21:H22"/>
  </mergeCells>
  <pageMargins left="0.7" right="0.7" top="0.75" bottom="0.75" header="0.3" footer="0.3"/>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41"/>
  <sheetViews>
    <sheetView topLeftCell="A2" workbookViewId="0">
      <selection activeCell="V35" sqref="V35"/>
    </sheetView>
  </sheetViews>
  <sheetFormatPr defaultRowHeight="12.5" x14ac:dyDescent="0.25"/>
  <cols>
    <col min="1" max="1" width="12.36328125" bestFit="1" customWidth="1"/>
    <col min="2" max="2" width="21.6328125" bestFit="1" customWidth="1"/>
    <col min="3" max="3" width="14.90625" bestFit="1" customWidth="1"/>
    <col min="4" max="4" width="14.90625" customWidth="1"/>
    <col min="6" max="6" width="12" bestFit="1" customWidth="1"/>
    <col min="7" max="7" width="12.7265625" customWidth="1"/>
    <col min="8" max="8" width="11.6328125" customWidth="1"/>
    <col min="10" max="10" width="19.26953125" bestFit="1" customWidth="1"/>
    <col min="11" max="11" width="10.54296875" bestFit="1" customWidth="1"/>
    <col min="12" max="12" width="10.6328125" bestFit="1" customWidth="1"/>
    <col min="13" max="13" width="21.08984375" bestFit="1" customWidth="1"/>
    <col min="14" max="14" width="13.7265625" bestFit="1" customWidth="1"/>
    <col min="15" max="15" width="11.6328125" bestFit="1" customWidth="1"/>
    <col min="16" max="16" width="13.1796875" bestFit="1" customWidth="1"/>
    <col min="17" max="17" width="12.54296875" bestFit="1" customWidth="1"/>
    <col min="18" max="18" width="15.90625" bestFit="1" customWidth="1"/>
    <col min="19" max="19" width="15.54296875" bestFit="1" customWidth="1"/>
    <col min="20" max="20" width="16.36328125" bestFit="1" customWidth="1"/>
    <col min="21" max="21" width="6.7265625" bestFit="1" customWidth="1"/>
    <col min="22" max="22" width="12.54296875" bestFit="1" customWidth="1"/>
    <col min="23" max="23" width="13.54296875" bestFit="1" customWidth="1"/>
    <col min="24" max="24" width="19.36328125" bestFit="1" customWidth="1"/>
    <col min="25" max="25" width="12" bestFit="1" customWidth="1"/>
    <col min="26" max="26" width="21.08984375" bestFit="1" customWidth="1"/>
    <col min="27" max="27" width="12.453125" bestFit="1" customWidth="1"/>
    <col min="28" max="28" width="15.1796875" bestFit="1" customWidth="1"/>
  </cols>
  <sheetData>
    <row r="2" spans="1:22" ht="12.5" customHeight="1" x14ac:dyDescent="0.25">
      <c r="B2" s="1077" t="s">
        <v>1168</v>
      </c>
      <c r="C2" s="1077"/>
      <c r="D2" s="1077"/>
      <c r="E2" s="1077"/>
    </row>
    <row r="3" spans="1:22" ht="12.5" customHeight="1" x14ac:dyDescent="0.25">
      <c r="B3" s="1077"/>
      <c r="C3" s="1077"/>
      <c r="D3" s="1077"/>
      <c r="E3" s="1077"/>
      <c r="N3" s="644" t="s">
        <v>642</v>
      </c>
    </row>
    <row r="4" spans="1:22" ht="12.5" customHeight="1" x14ac:dyDescent="0.25">
      <c r="B4" s="1077"/>
      <c r="C4" s="1077"/>
      <c r="D4" s="1077"/>
      <c r="E4" s="1077"/>
      <c r="J4" t="s">
        <v>1169</v>
      </c>
      <c r="N4" s="644">
        <f>PI()</f>
        <v>3.1415926535897931</v>
      </c>
      <c r="P4" s="1078" t="s">
        <v>640</v>
      </c>
      <c r="Q4" s="1078"/>
      <c r="R4" s="1078"/>
    </row>
    <row r="5" spans="1:22" ht="12.5" customHeight="1" x14ac:dyDescent="0.25">
      <c r="J5" s="645">
        <v>85</v>
      </c>
      <c r="K5" t="s">
        <v>1170</v>
      </c>
      <c r="P5" s="1078"/>
      <c r="Q5" s="1078"/>
      <c r="R5" s="1078"/>
    </row>
    <row r="6" spans="1:22" ht="13" thickBot="1" x14ac:dyDescent="0.3"/>
    <row r="7" spans="1:22" ht="13" thickBot="1" x14ac:dyDescent="0.3">
      <c r="C7" s="1081" t="s">
        <v>1438</v>
      </c>
      <c r="D7" s="1054"/>
      <c r="F7" s="1079" t="s">
        <v>1171</v>
      </c>
      <c r="G7" s="1079"/>
      <c r="H7" s="1079"/>
      <c r="J7" s="1080" t="s">
        <v>1172</v>
      </c>
      <c r="K7" s="1080"/>
      <c r="L7" s="646">
        <v>1</v>
      </c>
      <c r="N7" s="961" t="s">
        <v>1173</v>
      </c>
      <c r="O7" s="961"/>
      <c r="P7" s="647">
        <v>50</v>
      </c>
    </row>
    <row r="8" spans="1:22" s="3" customFormat="1" ht="14.5" x14ac:dyDescent="0.35">
      <c r="A8" s="705" t="s">
        <v>1436</v>
      </c>
      <c r="B8" s="708" t="s">
        <v>1437</v>
      </c>
      <c r="C8" s="641" t="s">
        <v>1174</v>
      </c>
      <c r="D8" s="642" t="s">
        <v>1175</v>
      </c>
      <c r="F8" s="648" t="s">
        <v>1176</v>
      </c>
      <c r="G8" s="641" t="s">
        <v>1177</v>
      </c>
      <c r="H8" s="642" t="s">
        <v>1178</v>
      </c>
      <c r="J8" s="92" t="s">
        <v>1176</v>
      </c>
      <c r="K8" s="92" t="s">
        <v>1177</v>
      </c>
      <c r="L8" s="92" t="s">
        <v>1178</v>
      </c>
      <c r="N8" s="649" t="s">
        <v>1178</v>
      </c>
      <c r="O8" s="92" t="s">
        <v>1179</v>
      </c>
      <c r="P8" s="92" t="s">
        <v>1180</v>
      </c>
      <c r="Q8" s="92" t="s">
        <v>472</v>
      </c>
      <c r="R8" s="92" t="s">
        <v>1181</v>
      </c>
      <c r="S8" s="92" t="s">
        <v>1182</v>
      </c>
      <c r="T8" s="92" t="s">
        <v>1183</v>
      </c>
      <c r="U8" s="92" t="s">
        <v>1184</v>
      </c>
      <c r="V8" s="92" t="s">
        <v>1185</v>
      </c>
    </row>
    <row r="9" spans="1:22" x14ac:dyDescent="0.25">
      <c r="A9" s="714">
        <v>12.5</v>
      </c>
      <c r="B9" s="653">
        <v>0</v>
      </c>
      <c r="C9" s="654">
        <v>-63.4</v>
      </c>
      <c r="D9" s="716">
        <v>-11.2</v>
      </c>
      <c r="F9" s="650"/>
      <c r="G9" s="651">
        <f t="shared" ref="G9:G41" si="0">F9+D9</f>
        <v>-11.2</v>
      </c>
      <c r="H9" s="652">
        <f t="shared" ref="H9:H41" si="1">F9+C9</f>
        <v>-63.4</v>
      </c>
      <c r="J9" s="653">
        <f>$J$5-F9</f>
        <v>85</v>
      </c>
      <c r="K9" s="651">
        <f t="shared" ref="K9:K41" si="2">J9+D9</f>
        <v>73.8</v>
      </c>
      <c r="L9" s="654">
        <f t="shared" ref="L9:L41" si="3">J9+C9</f>
        <v>21.6</v>
      </c>
      <c r="N9" s="655">
        <f>20*LOG(V9/20)</f>
        <v>-12.379400086720372</v>
      </c>
      <c r="O9" s="656">
        <f>N9-L9</f>
        <v>-33.979400086720375</v>
      </c>
      <c r="P9" s="657">
        <f>SQRT(T9)</f>
        <v>0.02</v>
      </c>
      <c r="Q9" s="658">
        <f>20*10^(L9/20)</f>
        <v>240.45288692348265</v>
      </c>
      <c r="R9" s="659">
        <f>4*$N$4*$L$7^2</f>
        <v>12.566370614359172</v>
      </c>
      <c r="S9" s="659">
        <f>4*$N$4*$P$7^2</f>
        <v>31415.926535897932</v>
      </c>
      <c r="T9" s="657">
        <f>R9/S9</f>
        <v>3.9999999999999996E-4</v>
      </c>
      <c r="U9" s="657">
        <f>P9</f>
        <v>0.02</v>
      </c>
      <c r="V9" s="658">
        <f>U9*Q9</f>
        <v>4.8090577384696536</v>
      </c>
    </row>
    <row r="10" spans="1:22" x14ac:dyDescent="0.25">
      <c r="A10" s="714">
        <v>16</v>
      </c>
      <c r="B10" s="653">
        <v>0</v>
      </c>
      <c r="C10" s="654">
        <v>-56.7</v>
      </c>
      <c r="D10" s="716">
        <v>-8.5</v>
      </c>
      <c r="F10" s="650">
        <v>0</v>
      </c>
      <c r="G10" s="651">
        <f t="shared" si="0"/>
        <v>-8.5</v>
      </c>
      <c r="H10" s="652">
        <f t="shared" si="1"/>
        <v>-56.7</v>
      </c>
      <c r="J10" s="653">
        <f t="shared" ref="J10:J41" si="4">$J$5-F10</f>
        <v>85</v>
      </c>
      <c r="K10" s="651">
        <f t="shared" si="2"/>
        <v>76.5</v>
      </c>
      <c r="L10" s="654">
        <f t="shared" si="3"/>
        <v>28.299999999999997</v>
      </c>
      <c r="N10" s="655">
        <f t="shared" ref="N10:N41" si="5">20*LOG(V10/20)</f>
        <v>-5.6794000867203787</v>
      </c>
      <c r="O10" s="656">
        <f t="shared" ref="O10:O41" si="6">N10-L10</f>
        <v>-33.979400086720375</v>
      </c>
      <c r="P10" s="657">
        <f t="shared" ref="P10:P41" si="7">SQRT(T10)</f>
        <v>0.02</v>
      </c>
      <c r="Q10" s="658">
        <f t="shared" ref="Q10:Q41" si="8">20*10^(L10/20)</f>
        <v>520.03191263305428</v>
      </c>
      <c r="R10" s="659">
        <f t="shared" ref="R10:R41" si="9">4*$N$4*$L$7^2</f>
        <v>12.566370614359172</v>
      </c>
      <c r="S10" s="659">
        <f t="shared" ref="S10:S41" si="10">4*$N$4*$P$7^2</f>
        <v>31415.926535897932</v>
      </c>
      <c r="T10" s="657">
        <f t="shared" ref="T10:T41" si="11">R10/S10</f>
        <v>3.9999999999999996E-4</v>
      </c>
      <c r="U10" s="657">
        <f t="shared" ref="U10:U41" si="12">P10</f>
        <v>0.02</v>
      </c>
      <c r="V10" s="658">
        <f t="shared" ref="V10:V41" si="13">U10*Q10</f>
        <v>10.400638252661086</v>
      </c>
    </row>
    <row r="11" spans="1:22" x14ac:dyDescent="0.25">
      <c r="A11" s="714">
        <v>20</v>
      </c>
      <c r="B11" s="653">
        <v>0</v>
      </c>
      <c r="C11" s="654">
        <v>-50.5</v>
      </c>
      <c r="D11" s="716">
        <v>-6.2</v>
      </c>
      <c r="F11" s="650">
        <v>12</v>
      </c>
      <c r="G11" s="651">
        <f t="shared" si="0"/>
        <v>5.8</v>
      </c>
      <c r="H11" s="652">
        <f t="shared" si="1"/>
        <v>-38.5</v>
      </c>
      <c r="J11" s="653">
        <f t="shared" si="4"/>
        <v>73</v>
      </c>
      <c r="K11" s="651">
        <f t="shared" si="2"/>
        <v>66.8</v>
      </c>
      <c r="L11" s="654">
        <f t="shared" si="3"/>
        <v>22.5</v>
      </c>
      <c r="N11" s="655">
        <f t="shared" si="5"/>
        <v>-11.479400086720373</v>
      </c>
      <c r="O11" s="656">
        <f t="shared" si="6"/>
        <v>-33.979400086720375</v>
      </c>
      <c r="P11" s="657">
        <f t="shared" si="7"/>
        <v>0.02</v>
      </c>
      <c r="Q11" s="658">
        <f t="shared" si="8"/>
        <v>266.7042864326649</v>
      </c>
      <c r="R11" s="659">
        <f t="shared" si="9"/>
        <v>12.566370614359172</v>
      </c>
      <c r="S11" s="659">
        <f t="shared" si="10"/>
        <v>31415.926535897932</v>
      </c>
      <c r="T11" s="657">
        <f t="shared" si="11"/>
        <v>3.9999999999999996E-4</v>
      </c>
      <c r="U11" s="657">
        <f t="shared" si="12"/>
        <v>0.02</v>
      </c>
      <c r="V11" s="658">
        <f t="shared" si="13"/>
        <v>5.3340857286532986</v>
      </c>
    </row>
    <row r="12" spans="1:22" x14ac:dyDescent="0.25">
      <c r="A12" s="714">
        <v>25</v>
      </c>
      <c r="B12" s="653">
        <v>0</v>
      </c>
      <c r="C12" s="654">
        <v>-44.7</v>
      </c>
      <c r="D12" s="716">
        <v>-4.4000000000000004</v>
      </c>
      <c r="F12" s="650">
        <v>18</v>
      </c>
      <c r="G12" s="651">
        <f t="shared" si="0"/>
        <v>13.6</v>
      </c>
      <c r="H12" s="652">
        <f t="shared" si="1"/>
        <v>-26.700000000000003</v>
      </c>
      <c r="J12" s="653">
        <f t="shared" si="4"/>
        <v>67</v>
      </c>
      <c r="K12" s="651">
        <f t="shared" si="2"/>
        <v>62.6</v>
      </c>
      <c r="L12" s="654">
        <f t="shared" si="3"/>
        <v>22.299999999999997</v>
      </c>
      <c r="N12" s="655">
        <f t="shared" si="5"/>
        <v>-11.67940008672038</v>
      </c>
      <c r="O12" s="656">
        <f t="shared" si="6"/>
        <v>-33.979400086720375</v>
      </c>
      <c r="P12" s="657">
        <f t="shared" si="7"/>
        <v>0.02</v>
      </c>
      <c r="Q12" s="658">
        <f t="shared" si="8"/>
        <v>260.63335569045978</v>
      </c>
      <c r="R12" s="659">
        <f t="shared" si="9"/>
        <v>12.566370614359172</v>
      </c>
      <c r="S12" s="659">
        <f t="shared" si="10"/>
        <v>31415.926535897932</v>
      </c>
      <c r="T12" s="657">
        <f t="shared" si="11"/>
        <v>3.9999999999999996E-4</v>
      </c>
      <c r="U12" s="657">
        <f t="shared" si="12"/>
        <v>0.02</v>
      </c>
      <c r="V12" s="658">
        <f t="shared" si="13"/>
        <v>5.2126671138091956</v>
      </c>
    </row>
    <row r="13" spans="1:22" ht="13" thickBot="1" x14ac:dyDescent="0.3">
      <c r="A13" s="714">
        <v>31.5</v>
      </c>
      <c r="B13" s="653">
        <v>0</v>
      </c>
      <c r="C13" s="654">
        <v>-39.4</v>
      </c>
      <c r="D13" s="716">
        <v>-3</v>
      </c>
      <c r="F13" s="650">
        <v>23</v>
      </c>
      <c r="G13" s="651">
        <f t="shared" si="0"/>
        <v>20</v>
      </c>
      <c r="H13" s="652">
        <f t="shared" si="1"/>
        <v>-16.399999999999999</v>
      </c>
      <c r="J13" s="660">
        <f t="shared" si="4"/>
        <v>62</v>
      </c>
      <c r="K13" s="661">
        <f t="shared" si="2"/>
        <v>59</v>
      </c>
      <c r="L13" s="662">
        <f t="shared" si="3"/>
        <v>22.6</v>
      </c>
      <c r="N13" s="663">
        <f t="shared" si="5"/>
        <v>-11.379400086720375</v>
      </c>
      <c r="O13" s="664">
        <f t="shared" si="6"/>
        <v>-33.979400086720375</v>
      </c>
      <c r="P13" s="665">
        <f t="shared" si="7"/>
        <v>0.02</v>
      </c>
      <c r="Q13" s="666">
        <f t="shared" si="8"/>
        <v>269.7925765183308</v>
      </c>
      <c r="R13" s="667">
        <f t="shared" si="9"/>
        <v>12.566370614359172</v>
      </c>
      <c r="S13" s="667">
        <f t="shared" si="10"/>
        <v>31415.926535897932</v>
      </c>
      <c r="T13" s="665">
        <f t="shared" si="11"/>
        <v>3.9999999999999996E-4</v>
      </c>
      <c r="U13" s="665">
        <f t="shared" si="12"/>
        <v>0.02</v>
      </c>
      <c r="V13" s="666">
        <f t="shared" si="13"/>
        <v>5.3958515303666159</v>
      </c>
    </row>
    <row r="14" spans="1:22" x14ac:dyDescent="0.25">
      <c r="A14" s="714">
        <v>40</v>
      </c>
      <c r="B14" s="653">
        <v>0</v>
      </c>
      <c r="C14" s="654">
        <v>-34.6</v>
      </c>
      <c r="D14" s="716">
        <v>-2</v>
      </c>
      <c r="F14" s="650">
        <v>37</v>
      </c>
      <c r="G14" s="651">
        <f t="shared" si="0"/>
        <v>35</v>
      </c>
      <c r="H14" s="652">
        <f t="shared" si="1"/>
        <v>2.3999999999999986</v>
      </c>
      <c r="J14" s="668">
        <f t="shared" si="4"/>
        <v>48</v>
      </c>
      <c r="K14" s="669">
        <f t="shared" si="2"/>
        <v>46</v>
      </c>
      <c r="L14" s="670">
        <f t="shared" si="3"/>
        <v>13.399999999999999</v>
      </c>
      <c r="N14" s="671">
        <f t="shared" si="5"/>
        <v>-20.579400086720376</v>
      </c>
      <c r="O14" s="672">
        <f t="shared" si="6"/>
        <v>-33.979400086720375</v>
      </c>
      <c r="P14" s="673">
        <f t="shared" si="7"/>
        <v>0.02</v>
      </c>
      <c r="Q14" s="674">
        <f t="shared" si="8"/>
        <v>93.547028257439635</v>
      </c>
      <c r="R14" s="675">
        <f t="shared" si="9"/>
        <v>12.566370614359172</v>
      </c>
      <c r="S14" s="675">
        <f t="shared" si="10"/>
        <v>31415.926535897932</v>
      </c>
      <c r="T14" s="673">
        <f t="shared" si="11"/>
        <v>3.9999999999999996E-4</v>
      </c>
      <c r="U14" s="673">
        <f t="shared" si="12"/>
        <v>0.02</v>
      </c>
      <c r="V14" s="676">
        <f t="shared" si="13"/>
        <v>1.8709405651487927</v>
      </c>
    </row>
    <row r="15" spans="1:22" x14ac:dyDescent="0.25">
      <c r="A15" s="714">
        <v>50</v>
      </c>
      <c r="B15" s="653">
        <v>0</v>
      </c>
      <c r="C15" s="654">
        <v>-30.2</v>
      </c>
      <c r="D15" s="716">
        <v>-1.3</v>
      </c>
      <c r="F15" s="650">
        <v>58</v>
      </c>
      <c r="G15" s="651">
        <f t="shared" si="0"/>
        <v>56.7</v>
      </c>
      <c r="H15" s="652">
        <f t="shared" si="1"/>
        <v>27.8</v>
      </c>
      <c r="J15" s="677">
        <f t="shared" si="4"/>
        <v>27</v>
      </c>
      <c r="K15" s="678">
        <f t="shared" si="2"/>
        <v>25.7</v>
      </c>
      <c r="L15" s="679">
        <f t="shared" si="3"/>
        <v>-3.1999999999999993</v>
      </c>
      <c r="N15" s="680">
        <f t="shared" si="5"/>
        <v>-37.179400086720371</v>
      </c>
      <c r="O15" s="681">
        <f t="shared" si="6"/>
        <v>-33.979400086720375</v>
      </c>
      <c r="P15" s="682">
        <f t="shared" si="7"/>
        <v>0.02</v>
      </c>
      <c r="Q15" s="683">
        <f t="shared" si="8"/>
        <v>13.836619418378731</v>
      </c>
      <c r="R15" s="684">
        <f t="shared" si="9"/>
        <v>12.566370614359172</v>
      </c>
      <c r="S15" s="684">
        <f t="shared" si="10"/>
        <v>31415.926535897932</v>
      </c>
      <c r="T15" s="682">
        <f t="shared" si="11"/>
        <v>3.9999999999999996E-4</v>
      </c>
      <c r="U15" s="682">
        <f t="shared" si="12"/>
        <v>0.02</v>
      </c>
      <c r="V15" s="685">
        <f t="shared" si="13"/>
        <v>0.27673238836757463</v>
      </c>
    </row>
    <row r="16" spans="1:22" x14ac:dyDescent="0.25">
      <c r="A16" s="714">
        <v>63</v>
      </c>
      <c r="B16" s="653">
        <v>0</v>
      </c>
      <c r="C16" s="654">
        <v>-26.2</v>
      </c>
      <c r="D16" s="716">
        <v>-0.8</v>
      </c>
      <c r="F16" s="650">
        <v>64</v>
      </c>
      <c r="G16" s="651">
        <f t="shared" si="0"/>
        <v>63.2</v>
      </c>
      <c r="H16" s="652">
        <f t="shared" si="1"/>
        <v>37.799999999999997</v>
      </c>
      <c r="J16" s="677">
        <f t="shared" si="4"/>
        <v>21</v>
      </c>
      <c r="K16" s="678">
        <f t="shared" si="2"/>
        <v>20.2</v>
      </c>
      <c r="L16" s="679">
        <f t="shared" si="3"/>
        <v>-5.1999999999999993</v>
      </c>
      <c r="N16" s="680">
        <f t="shared" si="5"/>
        <v>-39.179400086720378</v>
      </c>
      <c r="O16" s="681">
        <f t="shared" si="6"/>
        <v>-33.979400086720375</v>
      </c>
      <c r="P16" s="682">
        <f t="shared" si="7"/>
        <v>0.02</v>
      </c>
      <c r="Q16" s="683">
        <f t="shared" si="8"/>
        <v>10.99081747715249</v>
      </c>
      <c r="R16" s="684">
        <f t="shared" si="9"/>
        <v>12.566370614359172</v>
      </c>
      <c r="S16" s="684">
        <f t="shared" si="10"/>
        <v>31415.926535897932</v>
      </c>
      <c r="T16" s="682">
        <f t="shared" si="11"/>
        <v>3.9999999999999996E-4</v>
      </c>
      <c r="U16" s="682">
        <f t="shared" si="12"/>
        <v>0.02</v>
      </c>
      <c r="V16" s="685">
        <f t="shared" si="13"/>
        <v>0.21981634954304979</v>
      </c>
    </row>
    <row r="17" spans="1:22" x14ac:dyDescent="0.25">
      <c r="A17" s="714">
        <v>80</v>
      </c>
      <c r="B17" s="653">
        <v>0</v>
      </c>
      <c r="C17" s="654">
        <v>-22.5</v>
      </c>
      <c r="D17" s="716">
        <v>-0.5</v>
      </c>
      <c r="F17" s="650">
        <v>68</v>
      </c>
      <c r="G17" s="651">
        <f t="shared" si="0"/>
        <v>67.5</v>
      </c>
      <c r="H17" s="652">
        <f t="shared" si="1"/>
        <v>45.5</v>
      </c>
      <c r="J17" s="677">
        <f t="shared" si="4"/>
        <v>17</v>
      </c>
      <c r="K17" s="678">
        <f t="shared" si="2"/>
        <v>16.5</v>
      </c>
      <c r="L17" s="679">
        <f t="shared" si="3"/>
        <v>-5.5</v>
      </c>
      <c r="N17" s="680">
        <f t="shared" si="5"/>
        <v>-39.479400086720375</v>
      </c>
      <c r="O17" s="681">
        <f t="shared" si="6"/>
        <v>-33.979400086720375</v>
      </c>
      <c r="P17" s="682">
        <f t="shared" si="7"/>
        <v>0.02</v>
      </c>
      <c r="Q17" s="683">
        <f t="shared" si="8"/>
        <v>10.617688884619765</v>
      </c>
      <c r="R17" s="684">
        <f t="shared" si="9"/>
        <v>12.566370614359172</v>
      </c>
      <c r="S17" s="684">
        <f t="shared" si="10"/>
        <v>31415.926535897932</v>
      </c>
      <c r="T17" s="682">
        <f t="shared" si="11"/>
        <v>3.9999999999999996E-4</v>
      </c>
      <c r="U17" s="682">
        <f t="shared" si="12"/>
        <v>0.02</v>
      </c>
      <c r="V17" s="685">
        <f t="shared" si="13"/>
        <v>0.2123537776923953</v>
      </c>
    </row>
    <row r="18" spans="1:22" x14ac:dyDescent="0.25">
      <c r="A18" s="714">
        <v>100</v>
      </c>
      <c r="B18" s="653">
        <v>0</v>
      </c>
      <c r="C18" s="654">
        <v>-19.100000000000001</v>
      </c>
      <c r="D18" s="716">
        <v>-0.3</v>
      </c>
      <c r="F18" s="650">
        <v>72</v>
      </c>
      <c r="G18" s="651">
        <f t="shared" si="0"/>
        <v>71.7</v>
      </c>
      <c r="H18" s="652">
        <f t="shared" si="1"/>
        <v>52.9</v>
      </c>
      <c r="J18" s="677">
        <f t="shared" si="4"/>
        <v>13</v>
      </c>
      <c r="K18" s="678">
        <f t="shared" si="2"/>
        <v>12.7</v>
      </c>
      <c r="L18" s="679">
        <f t="shared" si="3"/>
        <v>-6.1000000000000014</v>
      </c>
      <c r="N18" s="680">
        <f t="shared" si="5"/>
        <v>-40.079400086720376</v>
      </c>
      <c r="O18" s="681">
        <f t="shared" si="6"/>
        <v>-33.979400086720375</v>
      </c>
      <c r="P18" s="682">
        <f t="shared" si="7"/>
        <v>0.02</v>
      </c>
      <c r="Q18" s="683">
        <f t="shared" si="8"/>
        <v>9.9090038160958045</v>
      </c>
      <c r="R18" s="684">
        <f t="shared" si="9"/>
        <v>12.566370614359172</v>
      </c>
      <c r="S18" s="684">
        <f t="shared" si="10"/>
        <v>31415.926535897932</v>
      </c>
      <c r="T18" s="682">
        <f t="shared" si="11"/>
        <v>3.9999999999999996E-4</v>
      </c>
      <c r="U18" s="682">
        <f t="shared" si="12"/>
        <v>0.02</v>
      </c>
      <c r="V18" s="685">
        <f t="shared" si="13"/>
        <v>0.19818007632191609</v>
      </c>
    </row>
    <row r="19" spans="1:22" x14ac:dyDescent="0.25">
      <c r="A19" s="714">
        <v>125</v>
      </c>
      <c r="B19" s="653">
        <v>0</v>
      </c>
      <c r="C19" s="654">
        <v>-16.100000000000001</v>
      </c>
      <c r="D19" s="716">
        <v>-0.2</v>
      </c>
      <c r="F19" s="650">
        <v>73</v>
      </c>
      <c r="G19" s="651">
        <f t="shared" si="0"/>
        <v>72.8</v>
      </c>
      <c r="H19" s="652">
        <f t="shared" si="1"/>
        <v>56.9</v>
      </c>
      <c r="J19" s="677">
        <f t="shared" si="4"/>
        <v>12</v>
      </c>
      <c r="K19" s="678">
        <f t="shared" si="2"/>
        <v>11.8</v>
      </c>
      <c r="L19" s="679">
        <f t="shared" si="3"/>
        <v>-4.1000000000000014</v>
      </c>
      <c r="N19" s="680">
        <f t="shared" si="5"/>
        <v>-38.079400086720383</v>
      </c>
      <c r="O19" s="681">
        <f t="shared" si="6"/>
        <v>-33.979400086720382</v>
      </c>
      <c r="P19" s="682">
        <f t="shared" si="7"/>
        <v>0.02</v>
      </c>
      <c r="Q19" s="683">
        <f t="shared" si="8"/>
        <v>12.474696709648381</v>
      </c>
      <c r="R19" s="684">
        <f t="shared" si="9"/>
        <v>12.566370614359172</v>
      </c>
      <c r="S19" s="684">
        <f t="shared" si="10"/>
        <v>31415.926535897932</v>
      </c>
      <c r="T19" s="682">
        <f t="shared" si="11"/>
        <v>3.9999999999999996E-4</v>
      </c>
      <c r="U19" s="682">
        <f t="shared" si="12"/>
        <v>0.02</v>
      </c>
      <c r="V19" s="685">
        <f t="shared" si="13"/>
        <v>0.24949393419296761</v>
      </c>
    </row>
    <row r="20" spans="1:22" x14ac:dyDescent="0.25">
      <c r="A20" s="714">
        <v>160</v>
      </c>
      <c r="B20" s="653">
        <v>0</v>
      </c>
      <c r="C20" s="654">
        <v>-13.4</v>
      </c>
      <c r="D20" s="716">
        <v>-0.1</v>
      </c>
      <c r="F20" s="650">
        <v>67</v>
      </c>
      <c r="G20" s="651">
        <f t="shared" si="0"/>
        <v>66.900000000000006</v>
      </c>
      <c r="H20" s="652">
        <f t="shared" si="1"/>
        <v>53.6</v>
      </c>
      <c r="J20" s="677">
        <f t="shared" si="4"/>
        <v>18</v>
      </c>
      <c r="K20" s="678">
        <f t="shared" si="2"/>
        <v>17.899999999999999</v>
      </c>
      <c r="L20" s="679">
        <f t="shared" si="3"/>
        <v>4.5999999999999996</v>
      </c>
      <c r="N20" s="680">
        <f t="shared" si="5"/>
        <v>-29.379400086720374</v>
      </c>
      <c r="O20" s="681">
        <f t="shared" si="6"/>
        <v>-33.979400086720375</v>
      </c>
      <c r="P20" s="682">
        <f t="shared" si="7"/>
        <v>0.02</v>
      </c>
      <c r="Q20" s="683">
        <f t="shared" si="8"/>
        <v>33.964873049234889</v>
      </c>
      <c r="R20" s="684">
        <f t="shared" si="9"/>
        <v>12.566370614359172</v>
      </c>
      <c r="S20" s="684">
        <f t="shared" si="10"/>
        <v>31415.926535897932</v>
      </c>
      <c r="T20" s="682">
        <f t="shared" si="11"/>
        <v>3.9999999999999996E-4</v>
      </c>
      <c r="U20" s="682">
        <f t="shared" si="12"/>
        <v>0.02</v>
      </c>
      <c r="V20" s="685">
        <f t="shared" si="13"/>
        <v>0.67929746098469779</v>
      </c>
    </row>
    <row r="21" spans="1:22" x14ac:dyDescent="0.25">
      <c r="A21" s="714">
        <v>200</v>
      </c>
      <c r="B21" s="653">
        <v>0</v>
      </c>
      <c r="C21" s="654">
        <v>-10.9</v>
      </c>
      <c r="D21" s="716">
        <v>0</v>
      </c>
      <c r="F21" s="650">
        <v>76</v>
      </c>
      <c r="G21" s="651">
        <f t="shared" si="0"/>
        <v>76</v>
      </c>
      <c r="H21" s="652">
        <f t="shared" si="1"/>
        <v>65.099999999999994</v>
      </c>
      <c r="J21" s="677">
        <f t="shared" si="4"/>
        <v>9</v>
      </c>
      <c r="K21" s="678">
        <f t="shared" si="2"/>
        <v>9</v>
      </c>
      <c r="L21" s="679">
        <f t="shared" si="3"/>
        <v>-1.9000000000000004</v>
      </c>
      <c r="N21" s="680">
        <f t="shared" si="5"/>
        <v>-35.879400086720381</v>
      </c>
      <c r="O21" s="681">
        <f t="shared" si="6"/>
        <v>-33.979400086720382</v>
      </c>
      <c r="P21" s="682">
        <f t="shared" si="7"/>
        <v>0.02</v>
      </c>
      <c r="Q21" s="683">
        <f t="shared" si="8"/>
        <v>16.070522443712342</v>
      </c>
      <c r="R21" s="684">
        <f t="shared" si="9"/>
        <v>12.566370614359172</v>
      </c>
      <c r="S21" s="684">
        <f t="shared" si="10"/>
        <v>31415.926535897932</v>
      </c>
      <c r="T21" s="682">
        <f t="shared" si="11"/>
        <v>3.9999999999999996E-4</v>
      </c>
      <c r="U21" s="682">
        <f t="shared" si="12"/>
        <v>0.02</v>
      </c>
      <c r="V21" s="685">
        <f t="shared" si="13"/>
        <v>0.32141044887424686</v>
      </c>
    </row>
    <row r="22" spans="1:22" x14ac:dyDescent="0.25">
      <c r="A22" s="714">
        <v>250</v>
      </c>
      <c r="B22" s="653">
        <v>0</v>
      </c>
      <c r="C22" s="654">
        <v>-8.6</v>
      </c>
      <c r="D22" s="716">
        <v>0</v>
      </c>
      <c r="F22" s="650">
        <v>83</v>
      </c>
      <c r="G22" s="651">
        <f t="shared" si="0"/>
        <v>83</v>
      </c>
      <c r="H22" s="652">
        <f t="shared" si="1"/>
        <v>74.400000000000006</v>
      </c>
      <c r="J22" s="677">
        <f t="shared" si="4"/>
        <v>2</v>
      </c>
      <c r="K22" s="678">
        <f t="shared" si="2"/>
        <v>2</v>
      </c>
      <c r="L22" s="679">
        <f t="shared" si="3"/>
        <v>-6.6</v>
      </c>
      <c r="N22" s="680">
        <f t="shared" si="5"/>
        <v>-40.579400086720376</v>
      </c>
      <c r="O22" s="681">
        <f t="shared" si="6"/>
        <v>-33.979400086720375</v>
      </c>
      <c r="P22" s="682">
        <f t="shared" si="7"/>
        <v>0.02</v>
      </c>
      <c r="Q22" s="683">
        <f t="shared" si="8"/>
        <v>9.3547028257439635</v>
      </c>
      <c r="R22" s="684">
        <f t="shared" si="9"/>
        <v>12.566370614359172</v>
      </c>
      <c r="S22" s="684">
        <f t="shared" si="10"/>
        <v>31415.926535897932</v>
      </c>
      <c r="T22" s="682">
        <f t="shared" si="11"/>
        <v>3.9999999999999996E-4</v>
      </c>
      <c r="U22" s="682">
        <f t="shared" si="12"/>
        <v>0.02</v>
      </c>
      <c r="V22" s="685">
        <f t="shared" si="13"/>
        <v>0.18709405651487929</v>
      </c>
    </row>
    <row r="23" spans="1:22" x14ac:dyDescent="0.25">
      <c r="A23" s="714">
        <v>315</v>
      </c>
      <c r="B23" s="653">
        <v>0</v>
      </c>
      <c r="C23" s="654">
        <v>-6.6</v>
      </c>
      <c r="D23" s="716">
        <v>0</v>
      </c>
      <c r="F23" s="650">
        <v>80</v>
      </c>
      <c r="G23" s="651">
        <f t="shared" si="0"/>
        <v>80</v>
      </c>
      <c r="H23" s="652">
        <f t="shared" si="1"/>
        <v>73.400000000000006</v>
      </c>
      <c r="J23" s="677">
        <f t="shared" si="4"/>
        <v>5</v>
      </c>
      <c r="K23" s="678">
        <f t="shared" si="2"/>
        <v>5</v>
      </c>
      <c r="L23" s="679">
        <f t="shared" si="3"/>
        <v>-1.5999999999999996</v>
      </c>
      <c r="N23" s="680">
        <f t="shared" si="5"/>
        <v>-35.579400086720376</v>
      </c>
      <c r="O23" s="681">
        <f t="shared" si="6"/>
        <v>-33.979400086720375</v>
      </c>
      <c r="P23" s="682">
        <f t="shared" si="7"/>
        <v>0.02</v>
      </c>
      <c r="Q23" s="683">
        <f t="shared" si="8"/>
        <v>16.635275422053418</v>
      </c>
      <c r="R23" s="684">
        <f t="shared" si="9"/>
        <v>12.566370614359172</v>
      </c>
      <c r="S23" s="684">
        <f t="shared" si="10"/>
        <v>31415.926535897932</v>
      </c>
      <c r="T23" s="682">
        <f t="shared" si="11"/>
        <v>3.9999999999999996E-4</v>
      </c>
      <c r="U23" s="682">
        <f t="shared" si="12"/>
        <v>0.02</v>
      </c>
      <c r="V23" s="685">
        <f t="shared" si="13"/>
        <v>0.33270550844106839</v>
      </c>
    </row>
    <row r="24" spans="1:22" x14ac:dyDescent="0.25">
      <c r="A24" s="714">
        <v>400</v>
      </c>
      <c r="B24" s="653">
        <v>0</v>
      </c>
      <c r="C24" s="654">
        <v>-4.8</v>
      </c>
      <c r="D24" s="716">
        <v>0</v>
      </c>
      <c r="F24" s="650">
        <v>100</v>
      </c>
      <c r="G24" s="651">
        <f t="shared" si="0"/>
        <v>100</v>
      </c>
      <c r="H24" s="652">
        <f t="shared" si="1"/>
        <v>95.2</v>
      </c>
      <c r="J24" s="677">
        <f t="shared" si="4"/>
        <v>-15</v>
      </c>
      <c r="K24" s="678">
        <f t="shared" si="2"/>
        <v>-15</v>
      </c>
      <c r="L24" s="679">
        <f t="shared" si="3"/>
        <v>-19.8</v>
      </c>
      <c r="N24" s="680">
        <f t="shared" si="5"/>
        <v>-53.779400086720379</v>
      </c>
      <c r="O24" s="681">
        <f t="shared" si="6"/>
        <v>-33.979400086720375</v>
      </c>
      <c r="P24" s="682">
        <f t="shared" si="7"/>
        <v>0.02</v>
      </c>
      <c r="Q24" s="683">
        <f t="shared" si="8"/>
        <v>2.0465859845615073</v>
      </c>
      <c r="R24" s="684">
        <f t="shared" si="9"/>
        <v>12.566370614359172</v>
      </c>
      <c r="S24" s="684">
        <f t="shared" si="10"/>
        <v>31415.926535897932</v>
      </c>
      <c r="T24" s="682">
        <f t="shared" si="11"/>
        <v>3.9999999999999996E-4</v>
      </c>
      <c r="U24" s="682">
        <f t="shared" si="12"/>
        <v>0.02</v>
      </c>
      <c r="V24" s="685">
        <f t="shared" si="13"/>
        <v>4.0931719691230148E-2</v>
      </c>
    </row>
    <row r="25" spans="1:22" x14ac:dyDescent="0.25">
      <c r="A25" s="714">
        <v>500</v>
      </c>
      <c r="B25" s="653">
        <v>0</v>
      </c>
      <c r="C25" s="654">
        <v>-3.2</v>
      </c>
      <c r="D25" s="716">
        <v>0</v>
      </c>
      <c r="F25" s="650">
        <v>118</v>
      </c>
      <c r="G25" s="651">
        <f t="shared" si="0"/>
        <v>118</v>
      </c>
      <c r="H25" s="652">
        <f t="shared" si="1"/>
        <v>114.8</v>
      </c>
      <c r="J25" s="677">
        <f t="shared" si="4"/>
        <v>-33</v>
      </c>
      <c r="K25" s="678">
        <f t="shared" si="2"/>
        <v>-33</v>
      </c>
      <c r="L25" s="679">
        <f t="shared" si="3"/>
        <v>-36.200000000000003</v>
      </c>
      <c r="N25" s="680">
        <f t="shared" si="5"/>
        <v>-70.179400086720392</v>
      </c>
      <c r="O25" s="681">
        <f t="shared" si="6"/>
        <v>-33.979400086720389</v>
      </c>
      <c r="P25" s="682">
        <f t="shared" si="7"/>
        <v>0.02</v>
      </c>
      <c r="Q25" s="683">
        <f t="shared" si="8"/>
        <v>0.30976332378249605</v>
      </c>
      <c r="R25" s="684">
        <f t="shared" si="9"/>
        <v>12.566370614359172</v>
      </c>
      <c r="S25" s="684">
        <f t="shared" si="10"/>
        <v>31415.926535897932</v>
      </c>
      <c r="T25" s="682">
        <f t="shared" si="11"/>
        <v>3.9999999999999996E-4</v>
      </c>
      <c r="U25" s="682">
        <f t="shared" si="12"/>
        <v>0.02</v>
      </c>
      <c r="V25" s="685">
        <f t="shared" si="13"/>
        <v>6.195266475649921E-3</v>
      </c>
    </row>
    <row r="26" spans="1:22" x14ac:dyDescent="0.25">
      <c r="A26" s="714">
        <v>630</v>
      </c>
      <c r="B26" s="653">
        <v>0</v>
      </c>
      <c r="C26" s="654">
        <v>-1.9</v>
      </c>
      <c r="D26" s="716">
        <v>0</v>
      </c>
      <c r="F26" s="650">
        <v>119</v>
      </c>
      <c r="G26" s="651">
        <f t="shared" si="0"/>
        <v>119</v>
      </c>
      <c r="H26" s="652">
        <f t="shared" si="1"/>
        <v>117.1</v>
      </c>
      <c r="J26" s="677">
        <f t="shared" si="4"/>
        <v>-34</v>
      </c>
      <c r="K26" s="678">
        <f t="shared" si="2"/>
        <v>-34</v>
      </c>
      <c r="L26" s="679">
        <f t="shared" si="3"/>
        <v>-35.9</v>
      </c>
      <c r="N26" s="680">
        <f t="shared" si="5"/>
        <v>-69.879400086720381</v>
      </c>
      <c r="O26" s="681">
        <f t="shared" si="6"/>
        <v>-33.979400086720382</v>
      </c>
      <c r="P26" s="682">
        <f t="shared" si="7"/>
        <v>0.02</v>
      </c>
      <c r="Q26" s="683">
        <f t="shared" si="8"/>
        <v>0.32064907813800808</v>
      </c>
      <c r="R26" s="684">
        <f t="shared" si="9"/>
        <v>12.566370614359172</v>
      </c>
      <c r="S26" s="684">
        <f t="shared" si="10"/>
        <v>31415.926535897932</v>
      </c>
      <c r="T26" s="682">
        <f t="shared" si="11"/>
        <v>3.9999999999999996E-4</v>
      </c>
      <c r="U26" s="682">
        <f t="shared" si="12"/>
        <v>0.02</v>
      </c>
      <c r="V26" s="685">
        <f t="shared" si="13"/>
        <v>6.4129815627601621E-3</v>
      </c>
    </row>
    <row r="27" spans="1:22" x14ac:dyDescent="0.25">
      <c r="A27" s="714">
        <v>800</v>
      </c>
      <c r="B27" s="653">
        <v>0</v>
      </c>
      <c r="C27" s="654">
        <v>-0.8</v>
      </c>
      <c r="D27" s="716">
        <v>0</v>
      </c>
      <c r="F27" s="650">
        <v>132</v>
      </c>
      <c r="G27" s="651">
        <f t="shared" si="0"/>
        <v>132</v>
      </c>
      <c r="H27" s="652">
        <f t="shared" si="1"/>
        <v>131.19999999999999</v>
      </c>
      <c r="J27" s="677">
        <f t="shared" si="4"/>
        <v>-47</v>
      </c>
      <c r="K27" s="678">
        <f t="shared" si="2"/>
        <v>-47</v>
      </c>
      <c r="L27" s="679">
        <f t="shared" si="3"/>
        <v>-47.8</v>
      </c>
      <c r="N27" s="680">
        <f t="shared" si="5"/>
        <v>-81.779400086720372</v>
      </c>
      <c r="O27" s="681">
        <f t="shared" si="6"/>
        <v>-33.979400086720375</v>
      </c>
      <c r="P27" s="682">
        <f t="shared" si="7"/>
        <v>0.02</v>
      </c>
      <c r="Q27" s="683">
        <f t="shared" si="8"/>
        <v>8.1476055560822602E-2</v>
      </c>
      <c r="R27" s="684">
        <f t="shared" si="9"/>
        <v>12.566370614359172</v>
      </c>
      <c r="S27" s="684">
        <f t="shared" si="10"/>
        <v>31415.926535897932</v>
      </c>
      <c r="T27" s="682">
        <f t="shared" si="11"/>
        <v>3.9999999999999996E-4</v>
      </c>
      <c r="U27" s="682">
        <f t="shared" si="12"/>
        <v>0.02</v>
      </c>
      <c r="V27" s="685">
        <f t="shared" si="13"/>
        <v>1.6295211112164522E-3</v>
      </c>
    </row>
    <row r="28" spans="1:22" x14ac:dyDescent="0.25">
      <c r="A28" s="714">
        <v>1000</v>
      </c>
      <c r="B28" s="653">
        <v>0</v>
      </c>
      <c r="C28" s="654">
        <v>0</v>
      </c>
      <c r="D28" s="716">
        <v>0</v>
      </c>
      <c r="F28" s="650">
        <v>133</v>
      </c>
      <c r="G28" s="651">
        <f t="shared" si="0"/>
        <v>133</v>
      </c>
      <c r="H28" s="652">
        <f t="shared" si="1"/>
        <v>133</v>
      </c>
      <c r="J28" s="677">
        <f t="shared" si="4"/>
        <v>-48</v>
      </c>
      <c r="K28" s="678">
        <f t="shared" si="2"/>
        <v>-48</v>
      </c>
      <c r="L28" s="679">
        <f t="shared" si="3"/>
        <v>-48</v>
      </c>
      <c r="N28" s="680">
        <f t="shared" si="5"/>
        <v>-81.979400086720375</v>
      </c>
      <c r="O28" s="681">
        <f t="shared" si="6"/>
        <v>-33.979400086720375</v>
      </c>
      <c r="P28" s="682">
        <f t="shared" si="7"/>
        <v>0.02</v>
      </c>
      <c r="Q28" s="683">
        <f t="shared" si="8"/>
        <v>7.9621434110699441E-2</v>
      </c>
      <c r="R28" s="684">
        <f t="shared" si="9"/>
        <v>12.566370614359172</v>
      </c>
      <c r="S28" s="684">
        <f t="shared" si="10"/>
        <v>31415.926535897932</v>
      </c>
      <c r="T28" s="682">
        <f t="shared" si="11"/>
        <v>3.9999999999999996E-4</v>
      </c>
      <c r="U28" s="682">
        <f t="shared" si="12"/>
        <v>0.02</v>
      </c>
      <c r="V28" s="685">
        <f t="shared" si="13"/>
        <v>1.5924286822139888E-3</v>
      </c>
    </row>
    <row r="29" spans="1:22" x14ac:dyDescent="0.25">
      <c r="A29" s="714">
        <v>1250</v>
      </c>
      <c r="B29" s="653">
        <v>0</v>
      </c>
      <c r="C29" s="654">
        <v>0.6</v>
      </c>
      <c r="D29" s="716">
        <v>0</v>
      </c>
      <c r="F29" s="650">
        <v>148</v>
      </c>
      <c r="G29" s="651">
        <f t="shared" si="0"/>
        <v>148</v>
      </c>
      <c r="H29" s="652">
        <f t="shared" si="1"/>
        <v>148.6</v>
      </c>
      <c r="J29" s="677">
        <f t="shared" si="4"/>
        <v>-63</v>
      </c>
      <c r="K29" s="678">
        <f t="shared" si="2"/>
        <v>-63</v>
      </c>
      <c r="L29" s="679">
        <f t="shared" si="3"/>
        <v>-62.4</v>
      </c>
      <c r="N29" s="680">
        <f t="shared" si="5"/>
        <v>-96.379400086720395</v>
      </c>
      <c r="O29" s="681">
        <f t="shared" si="6"/>
        <v>-33.979400086720396</v>
      </c>
      <c r="P29" s="682">
        <f t="shared" si="7"/>
        <v>0.02</v>
      </c>
      <c r="Q29" s="683">
        <f t="shared" si="8"/>
        <v>1.5171551500583656E-2</v>
      </c>
      <c r="R29" s="684">
        <f t="shared" si="9"/>
        <v>12.566370614359172</v>
      </c>
      <c r="S29" s="684">
        <f t="shared" si="10"/>
        <v>31415.926535897932</v>
      </c>
      <c r="T29" s="682">
        <f t="shared" si="11"/>
        <v>3.9999999999999996E-4</v>
      </c>
      <c r="U29" s="682">
        <f t="shared" si="12"/>
        <v>0.02</v>
      </c>
      <c r="V29" s="685">
        <f t="shared" si="13"/>
        <v>3.0343103001167311E-4</v>
      </c>
    </row>
    <row r="30" spans="1:22" x14ac:dyDescent="0.25">
      <c r="A30" s="714">
        <v>1600</v>
      </c>
      <c r="B30" s="653">
        <v>0</v>
      </c>
      <c r="C30" s="654">
        <v>1</v>
      </c>
      <c r="D30" s="716">
        <v>-0.1</v>
      </c>
      <c r="F30" s="650">
        <v>152</v>
      </c>
      <c r="G30" s="651">
        <f t="shared" si="0"/>
        <v>151.9</v>
      </c>
      <c r="H30" s="652">
        <f t="shared" si="1"/>
        <v>153</v>
      </c>
      <c r="J30" s="677">
        <f t="shared" si="4"/>
        <v>-67</v>
      </c>
      <c r="K30" s="678">
        <f t="shared" si="2"/>
        <v>-67.099999999999994</v>
      </c>
      <c r="L30" s="679">
        <f t="shared" si="3"/>
        <v>-66</v>
      </c>
      <c r="N30" s="680">
        <f t="shared" si="5"/>
        <v>-99.979400086720375</v>
      </c>
      <c r="O30" s="681">
        <f t="shared" si="6"/>
        <v>-33.979400086720375</v>
      </c>
      <c r="P30" s="682">
        <f t="shared" si="7"/>
        <v>0.02</v>
      </c>
      <c r="Q30" s="683">
        <f t="shared" si="8"/>
        <v>1.0023744672545442E-2</v>
      </c>
      <c r="R30" s="684">
        <f t="shared" si="9"/>
        <v>12.566370614359172</v>
      </c>
      <c r="S30" s="684">
        <f t="shared" si="10"/>
        <v>31415.926535897932</v>
      </c>
      <c r="T30" s="682">
        <f t="shared" si="11"/>
        <v>3.9999999999999996E-4</v>
      </c>
      <c r="U30" s="682">
        <f t="shared" si="12"/>
        <v>0.02</v>
      </c>
      <c r="V30" s="685">
        <f t="shared" si="13"/>
        <v>2.0047489345090884E-4</v>
      </c>
    </row>
    <row r="31" spans="1:22" x14ac:dyDescent="0.25">
      <c r="A31" s="714">
        <v>2000</v>
      </c>
      <c r="B31" s="653">
        <v>0</v>
      </c>
      <c r="C31" s="654">
        <v>1.2</v>
      </c>
      <c r="D31" s="716">
        <v>-0.2</v>
      </c>
      <c r="F31" s="650">
        <v>161</v>
      </c>
      <c r="G31" s="651">
        <f t="shared" si="0"/>
        <v>160.80000000000001</v>
      </c>
      <c r="H31" s="652">
        <f t="shared" si="1"/>
        <v>162.19999999999999</v>
      </c>
      <c r="J31" s="677">
        <f t="shared" si="4"/>
        <v>-76</v>
      </c>
      <c r="K31" s="678">
        <f t="shared" si="2"/>
        <v>-76.2</v>
      </c>
      <c r="L31" s="679">
        <f t="shared" si="3"/>
        <v>-74.8</v>
      </c>
      <c r="N31" s="680">
        <f t="shared" si="5"/>
        <v>-108.77940008672039</v>
      </c>
      <c r="O31" s="681">
        <f t="shared" si="6"/>
        <v>-33.979400086720389</v>
      </c>
      <c r="P31" s="682">
        <f t="shared" si="7"/>
        <v>0.02</v>
      </c>
      <c r="Q31" s="683">
        <f t="shared" si="8"/>
        <v>3.6394017172199679E-3</v>
      </c>
      <c r="R31" s="684">
        <f t="shared" si="9"/>
        <v>12.566370614359172</v>
      </c>
      <c r="S31" s="684">
        <f t="shared" si="10"/>
        <v>31415.926535897932</v>
      </c>
      <c r="T31" s="682">
        <f t="shared" si="11"/>
        <v>3.9999999999999996E-4</v>
      </c>
      <c r="U31" s="682">
        <f t="shared" si="12"/>
        <v>0.02</v>
      </c>
      <c r="V31" s="685">
        <f t="shared" si="13"/>
        <v>7.2788034344399363E-5</v>
      </c>
    </row>
    <row r="32" spans="1:22" x14ac:dyDescent="0.25">
      <c r="A32" s="714">
        <v>2500</v>
      </c>
      <c r="B32" s="653">
        <v>0</v>
      </c>
      <c r="C32" s="654">
        <v>1.3</v>
      </c>
      <c r="D32" s="716">
        <v>-0.3</v>
      </c>
      <c r="F32" s="650">
        <v>175</v>
      </c>
      <c r="G32" s="651">
        <f t="shared" si="0"/>
        <v>174.7</v>
      </c>
      <c r="H32" s="652">
        <f t="shared" si="1"/>
        <v>176.3</v>
      </c>
      <c r="J32" s="677">
        <f t="shared" si="4"/>
        <v>-90</v>
      </c>
      <c r="K32" s="678">
        <f t="shared" si="2"/>
        <v>-90.3</v>
      </c>
      <c r="L32" s="679">
        <f t="shared" si="3"/>
        <v>-88.7</v>
      </c>
      <c r="N32" s="680">
        <f t="shared" si="5"/>
        <v>-122.67940008672041</v>
      </c>
      <c r="O32" s="681">
        <f t="shared" si="6"/>
        <v>-33.979400086720403</v>
      </c>
      <c r="P32" s="682">
        <f t="shared" si="7"/>
        <v>0.02</v>
      </c>
      <c r="Q32" s="683">
        <f t="shared" si="8"/>
        <v>7.3456460099616781E-4</v>
      </c>
      <c r="R32" s="684">
        <f t="shared" si="9"/>
        <v>12.566370614359172</v>
      </c>
      <c r="S32" s="684">
        <f t="shared" si="10"/>
        <v>31415.926535897932</v>
      </c>
      <c r="T32" s="682">
        <f t="shared" si="11"/>
        <v>3.9999999999999996E-4</v>
      </c>
      <c r="U32" s="682">
        <f t="shared" si="12"/>
        <v>0.02</v>
      </c>
      <c r="V32" s="685">
        <f t="shared" si="13"/>
        <v>1.4691292019923356E-5</v>
      </c>
    </row>
    <row r="33" spans="1:22" x14ac:dyDescent="0.25">
      <c r="A33" s="714">
        <v>3150</v>
      </c>
      <c r="B33" s="653">
        <v>0</v>
      </c>
      <c r="C33" s="654">
        <v>1.2</v>
      </c>
      <c r="D33" s="716">
        <v>-0.5</v>
      </c>
      <c r="F33" s="650">
        <v>183</v>
      </c>
      <c r="G33" s="651">
        <f t="shared" si="0"/>
        <v>182.5</v>
      </c>
      <c r="H33" s="652">
        <f t="shared" si="1"/>
        <v>184.2</v>
      </c>
      <c r="J33" s="677">
        <f t="shared" si="4"/>
        <v>-98</v>
      </c>
      <c r="K33" s="678">
        <f t="shared" si="2"/>
        <v>-98.5</v>
      </c>
      <c r="L33" s="679">
        <f t="shared" si="3"/>
        <v>-96.8</v>
      </c>
      <c r="N33" s="680">
        <f t="shared" si="5"/>
        <v>-130.77940008672039</v>
      </c>
      <c r="O33" s="681">
        <f t="shared" si="6"/>
        <v>-33.979400086720389</v>
      </c>
      <c r="P33" s="682">
        <f t="shared" si="7"/>
        <v>0.02</v>
      </c>
      <c r="Q33" s="683">
        <f t="shared" si="8"/>
        <v>2.8908795414918549E-4</v>
      </c>
      <c r="R33" s="684">
        <f t="shared" si="9"/>
        <v>12.566370614359172</v>
      </c>
      <c r="S33" s="684">
        <f t="shared" si="10"/>
        <v>31415.926535897932</v>
      </c>
      <c r="T33" s="682">
        <f t="shared" si="11"/>
        <v>3.9999999999999996E-4</v>
      </c>
      <c r="U33" s="682">
        <f t="shared" si="12"/>
        <v>0.02</v>
      </c>
      <c r="V33" s="685">
        <f t="shared" si="13"/>
        <v>5.78175908298371E-6</v>
      </c>
    </row>
    <row r="34" spans="1:22" x14ac:dyDescent="0.25">
      <c r="A34" s="714">
        <v>4000</v>
      </c>
      <c r="B34" s="653">
        <v>0</v>
      </c>
      <c r="C34" s="654">
        <v>1</v>
      </c>
      <c r="D34" s="716">
        <v>-0.8</v>
      </c>
      <c r="F34" s="650">
        <v>188</v>
      </c>
      <c r="G34" s="651">
        <f t="shared" si="0"/>
        <v>187.2</v>
      </c>
      <c r="H34" s="652">
        <f t="shared" si="1"/>
        <v>189</v>
      </c>
      <c r="J34" s="677">
        <f t="shared" si="4"/>
        <v>-103</v>
      </c>
      <c r="K34" s="678">
        <f t="shared" si="2"/>
        <v>-103.8</v>
      </c>
      <c r="L34" s="679">
        <f t="shared" si="3"/>
        <v>-102</v>
      </c>
      <c r="N34" s="680">
        <f t="shared" si="5"/>
        <v>-135.97940008672037</v>
      </c>
      <c r="O34" s="681">
        <f t="shared" si="6"/>
        <v>-33.979400086720375</v>
      </c>
      <c r="P34" s="682">
        <f t="shared" si="7"/>
        <v>0.02</v>
      </c>
      <c r="Q34" s="683">
        <f t="shared" si="8"/>
        <v>1.5886564694485614E-4</v>
      </c>
      <c r="R34" s="684">
        <f t="shared" si="9"/>
        <v>12.566370614359172</v>
      </c>
      <c r="S34" s="684">
        <f t="shared" si="10"/>
        <v>31415.926535897932</v>
      </c>
      <c r="T34" s="682">
        <f t="shared" si="11"/>
        <v>3.9999999999999996E-4</v>
      </c>
      <c r="U34" s="682">
        <f t="shared" si="12"/>
        <v>0.02</v>
      </c>
      <c r="V34" s="685">
        <f t="shared" si="13"/>
        <v>3.1773129388971229E-6</v>
      </c>
    </row>
    <row r="35" spans="1:22" ht="13" thickBot="1" x14ac:dyDescent="0.3">
      <c r="A35" s="714">
        <v>5000</v>
      </c>
      <c r="B35" s="653">
        <v>0</v>
      </c>
      <c r="C35" s="654">
        <v>0.5</v>
      </c>
      <c r="D35" s="716">
        <v>-1.3</v>
      </c>
      <c r="F35" s="650">
        <v>191</v>
      </c>
      <c r="G35" s="651">
        <f t="shared" si="0"/>
        <v>189.7</v>
      </c>
      <c r="H35" s="652">
        <f t="shared" si="1"/>
        <v>191.5</v>
      </c>
      <c r="J35" s="686">
        <f t="shared" si="4"/>
        <v>-106</v>
      </c>
      <c r="K35" s="687">
        <f t="shared" si="2"/>
        <v>-107.3</v>
      </c>
      <c r="L35" s="688">
        <f t="shared" si="3"/>
        <v>-105.5</v>
      </c>
      <c r="N35" s="689">
        <f t="shared" si="5"/>
        <v>-139.47940008672037</v>
      </c>
      <c r="O35" s="690">
        <f t="shared" si="6"/>
        <v>-33.979400086720375</v>
      </c>
      <c r="P35" s="691">
        <f t="shared" si="7"/>
        <v>0.02</v>
      </c>
      <c r="Q35" s="692">
        <f t="shared" si="8"/>
        <v>1.0617688884619755E-4</v>
      </c>
      <c r="R35" s="693">
        <f t="shared" si="9"/>
        <v>12.566370614359172</v>
      </c>
      <c r="S35" s="693">
        <f t="shared" si="10"/>
        <v>31415.926535897932</v>
      </c>
      <c r="T35" s="691">
        <f t="shared" si="11"/>
        <v>3.9999999999999996E-4</v>
      </c>
      <c r="U35" s="691">
        <f t="shared" si="12"/>
        <v>0.02</v>
      </c>
      <c r="V35" s="694">
        <f t="shared" si="13"/>
        <v>2.1235377769239511E-6</v>
      </c>
    </row>
    <row r="36" spans="1:22" x14ac:dyDescent="0.25">
      <c r="A36" s="714">
        <v>6300</v>
      </c>
      <c r="B36" s="653">
        <v>0</v>
      </c>
      <c r="C36" s="654">
        <v>-0.1</v>
      </c>
      <c r="D36" s="716">
        <v>-2</v>
      </c>
      <c r="F36" s="650"/>
      <c r="G36" s="651">
        <f t="shared" si="0"/>
        <v>-2</v>
      </c>
      <c r="H36" s="652">
        <f t="shared" si="1"/>
        <v>-0.1</v>
      </c>
      <c r="J36" s="695">
        <f t="shared" si="4"/>
        <v>85</v>
      </c>
      <c r="K36" s="696">
        <f t="shared" si="2"/>
        <v>83</v>
      </c>
      <c r="L36" s="697">
        <f t="shared" si="3"/>
        <v>84.9</v>
      </c>
      <c r="N36" s="698">
        <f t="shared" si="5"/>
        <v>50.920599913279631</v>
      </c>
      <c r="O36" s="699">
        <f t="shared" si="6"/>
        <v>-33.979400086720375</v>
      </c>
      <c r="P36" s="700">
        <f t="shared" si="7"/>
        <v>0.02</v>
      </c>
      <c r="Q36" s="701">
        <f t="shared" si="8"/>
        <v>351584.72279173858</v>
      </c>
      <c r="R36" s="702">
        <f t="shared" si="9"/>
        <v>12.566370614359172</v>
      </c>
      <c r="S36" s="702">
        <f t="shared" si="10"/>
        <v>31415.926535897932</v>
      </c>
      <c r="T36" s="700">
        <f t="shared" si="11"/>
        <v>3.9999999999999996E-4</v>
      </c>
      <c r="U36" s="700">
        <f t="shared" si="12"/>
        <v>0.02</v>
      </c>
      <c r="V36" s="701">
        <f t="shared" si="13"/>
        <v>7031.6944558347714</v>
      </c>
    </row>
    <row r="37" spans="1:22" x14ac:dyDescent="0.25">
      <c r="A37" s="714">
        <v>8000</v>
      </c>
      <c r="B37" s="653">
        <v>0</v>
      </c>
      <c r="C37" s="654">
        <v>-1.1000000000000001</v>
      </c>
      <c r="D37" s="716">
        <v>-3</v>
      </c>
      <c r="F37" s="650"/>
      <c r="G37" s="651">
        <f t="shared" si="0"/>
        <v>-3</v>
      </c>
      <c r="H37" s="652">
        <f t="shared" si="1"/>
        <v>-1.1000000000000001</v>
      </c>
      <c r="J37" s="653">
        <f t="shared" si="4"/>
        <v>85</v>
      </c>
      <c r="K37" s="651">
        <f t="shared" si="2"/>
        <v>82</v>
      </c>
      <c r="L37" s="654">
        <f t="shared" si="3"/>
        <v>83.9</v>
      </c>
      <c r="N37" s="655">
        <f t="shared" si="5"/>
        <v>49.920599913279631</v>
      </c>
      <c r="O37" s="656">
        <f t="shared" si="6"/>
        <v>-33.979400086720375</v>
      </c>
      <c r="P37" s="657">
        <f t="shared" si="7"/>
        <v>0.02</v>
      </c>
      <c r="Q37" s="658">
        <f t="shared" si="8"/>
        <v>313350.21402163006</v>
      </c>
      <c r="R37" s="659">
        <f t="shared" si="9"/>
        <v>12.566370614359172</v>
      </c>
      <c r="S37" s="659">
        <f t="shared" si="10"/>
        <v>31415.926535897932</v>
      </c>
      <c r="T37" s="657">
        <f t="shared" si="11"/>
        <v>3.9999999999999996E-4</v>
      </c>
      <c r="U37" s="657">
        <f t="shared" si="12"/>
        <v>0.02</v>
      </c>
      <c r="V37" s="658">
        <f t="shared" si="13"/>
        <v>6267.0042804326013</v>
      </c>
    </row>
    <row r="38" spans="1:22" x14ac:dyDescent="0.25">
      <c r="A38" s="714">
        <v>10000</v>
      </c>
      <c r="B38" s="653">
        <v>0</v>
      </c>
      <c r="C38" s="654">
        <v>-2.5</v>
      </c>
      <c r="D38" s="716">
        <v>-4.4000000000000004</v>
      </c>
      <c r="F38" s="650"/>
      <c r="G38" s="651">
        <f t="shared" si="0"/>
        <v>-4.4000000000000004</v>
      </c>
      <c r="H38" s="652">
        <f t="shared" si="1"/>
        <v>-2.5</v>
      </c>
      <c r="J38" s="653">
        <f t="shared" si="4"/>
        <v>85</v>
      </c>
      <c r="K38" s="651">
        <f t="shared" si="2"/>
        <v>80.599999999999994</v>
      </c>
      <c r="L38" s="654">
        <f t="shared" si="3"/>
        <v>82.5</v>
      </c>
      <c r="N38" s="655">
        <f t="shared" si="5"/>
        <v>48.520599913279632</v>
      </c>
      <c r="O38" s="656">
        <f t="shared" si="6"/>
        <v>-33.979400086720368</v>
      </c>
      <c r="P38" s="657">
        <f t="shared" si="7"/>
        <v>0.02</v>
      </c>
      <c r="Q38" s="658">
        <f t="shared" si="8"/>
        <v>266704.28643266519</v>
      </c>
      <c r="R38" s="659">
        <f t="shared" si="9"/>
        <v>12.566370614359172</v>
      </c>
      <c r="S38" s="659">
        <f t="shared" si="10"/>
        <v>31415.926535897932</v>
      </c>
      <c r="T38" s="657">
        <f t="shared" si="11"/>
        <v>3.9999999999999996E-4</v>
      </c>
      <c r="U38" s="657">
        <f t="shared" si="12"/>
        <v>0.02</v>
      </c>
      <c r="V38" s="658">
        <f t="shared" si="13"/>
        <v>5334.0857286533037</v>
      </c>
    </row>
    <row r="39" spans="1:22" x14ac:dyDescent="0.25">
      <c r="A39" s="714">
        <v>12500</v>
      </c>
      <c r="B39" s="653">
        <v>0</v>
      </c>
      <c r="C39" s="654">
        <v>-4.3</v>
      </c>
      <c r="D39" s="716">
        <v>-6.2</v>
      </c>
      <c r="F39" s="650"/>
      <c r="G39" s="651">
        <f t="shared" si="0"/>
        <v>-6.2</v>
      </c>
      <c r="H39" s="652">
        <f t="shared" si="1"/>
        <v>-4.3</v>
      </c>
      <c r="J39" s="653">
        <f t="shared" si="4"/>
        <v>85</v>
      </c>
      <c r="K39" s="651">
        <f t="shared" si="2"/>
        <v>78.8</v>
      </c>
      <c r="L39" s="654">
        <f t="shared" si="3"/>
        <v>80.7</v>
      </c>
      <c r="N39" s="655">
        <f t="shared" si="5"/>
        <v>46.720599913279628</v>
      </c>
      <c r="O39" s="656">
        <f t="shared" si="6"/>
        <v>-33.979400086720375</v>
      </c>
      <c r="P39" s="657">
        <f t="shared" si="7"/>
        <v>0.02</v>
      </c>
      <c r="Q39" s="658">
        <f t="shared" si="8"/>
        <v>216785.38280424083</v>
      </c>
      <c r="R39" s="659">
        <f t="shared" si="9"/>
        <v>12.566370614359172</v>
      </c>
      <c r="S39" s="659">
        <f t="shared" si="10"/>
        <v>31415.926535897932</v>
      </c>
      <c r="T39" s="657">
        <f t="shared" si="11"/>
        <v>3.9999999999999996E-4</v>
      </c>
      <c r="U39" s="657">
        <f t="shared" si="12"/>
        <v>0.02</v>
      </c>
      <c r="V39" s="658">
        <f t="shared" si="13"/>
        <v>4335.7076560848163</v>
      </c>
    </row>
    <row r="40" spans="1:22" x14ac:dyDescent="0.25">
      <c r="A40" s="714">
        <v>16000</v>
      </c>
      <c r="B40" s="653">
        <v>0</v>
      </c>
      <c r="C40" s="654">
        <v>-6.6</v>
      </c>
      <c r="D40" s="716">
        <v>-8.5</v>
      </c>
      <c r="F40" s="650"/>
      <c r="G40" s="651">
        <f t="shared" si="0"/>
        <v>-8.5</v>
      </c>
      <c r="H40" s="652">
        <f t="shared" si="1"/>
        <v>-6.6</v>
      </c>
      <c r="J40" s="653">
        <f t="shared" si="4"/>
        <v>85</v>
      </c>
      <c r="K40" s="651">
        <f t="shared" si="2"/>
        <v>76.5</v>
      </c>
      <c r="L40" s="654">
        <f t="shared" si="3"/>
        <v>78.400000000000006</v>
      </c>
      <c r="N40" s="655">
        <f t="shared" si="5"/>
        <v>44.420599913279631</v>
      </c>
      <c r="O40" s="656">
        <f t="shared" si="6"/>
        <v>-33.979400086720375</v>
      </c>
      <c r="P40" s="657">
        <f t="shared" si="7"/>
        <v>0.02</v>
      </c>
      <c r="Q40" s="658">
        <f t="shared" si="8"/>
        <v>166352.75422053447</v>
      </c>
      <c r="R40" s="659">
        <f t="shared" si="9"/>
        <v>12.566370614359172</v>
      </c>
      <c r="S40" s="659">
        <f t="shared" si="10"/>
        <v>31415.926535897932</v>
      </c>
      <c r="T40" s="657">
        <f t="shared" si="11"/>
        <v>3.9999999999999996E-4</v>
      </c>
      <c r="U40" s="657">
        <f t="shared" si="12"/>
        <v>0.02</v>
      </c>
      <c r="V40" s="658">
        <f t="shared" si="13"/>
        <v>3327.0550844106892</v>
      </c>
    </row>
    <row r="41" spans="1:22" ht="13" thickBot="1" x14ac:dyDescent="0.3">
      <c r="A41" s="715">
        <v>20000</v>
      </c>
      <c r="B41" s="717">
        <v>0</v>
      </c>
      <c r="C41" s="704">
        <v>-9.3000000000000007</v>
      </c>
      <c r="D41" s="718">
        <v>-11.2</v>
      </c>
      <c r="F41" s="703"/>
      <c r="G41" s="651">
        <f t="shared" si="0"/>
        <v>-11.2</v>
      </c>
      <c r="H41" s="652">
        <f t="shared" si="1"/>
        <v>-9.3000000000000007</v>
      </c>
      <c r="J41" s="653">
        <f t="shared" si="4"/>
        <v>85</v>
      </c>
      <c r="K41" s="651">
        <f t="shared" si="2"/>
        <v>73.8</v>
      </c>
      <c r="L41" s="654">
        <f t="shared" si="3"/>
        <v>75.7</v>
      </c>
      <c r="N41" s="655">
        <f t="shared" si="5"/>
        <v>41.720599913279635</v>
      </c>
      <c r="O41" s="656">
        <f t="shared" si="6"/>
        <v>-33.979400086720368</v>
      </c>
      <c r="P41" s="657">
        <f t="shared" si="7"/>
        <v>0.02</v>
      </c>
      <c r="Q41" s="658">
        <f t="shared" si="8"/>
        <v>121907.37944803397</v>
      </c>
      <c r="R41" s="659">
        <f t="shared" si="9"/>
        <v>12.566370614359172</v>
      </c>
      <c r="S41" s="659">
        <f t="shared" si="10"/>
        <v>31415.926535897932</v>
      </c>
      <c r="T41" s="657">
        <f t="shared" si="11"/>
        <v>3.9999999999999996E-4</v>
      </c>
      <c r="U41" s="657">
        <f t="shared" si="12"/>
        <v>0.02</v>
      </c>
      <c r="V41" s="658">
        <f t="shared" si="13"/>
        <v>2438.1475889606795</v>
      </c>
    </row>
  </sheetData>
  <mergeCells count="6">
    <mergeCell ref="B2:E4"/>
    <mergeCell ref="P4:R5"/>
    <mergeCell ref="F7:H7"/>
    <mergeCell ref="J7:K7"/>
    <mergeCell ref="N7:O7"/>
    <mergeCell ref="C7:D7"/>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N30"/>
  <sheetViews>
    <sheetView workbookViewId="0">
      <selection activeCell="M48" sqref="M48"/>
    </sheetView>
  </sheetViews>
  <sheetFormatPr defaultRowHeight="12.5" x14ac:dyDescent="0.25"/>
  <cols>
    <col min="2" max="2" width="8.36328125" bestFit="1" customWidth="1"/>
    <col min="4" max="14" width="12.6328125" bestFit="1" customWidth="1"/>
  </cols>
  <sheetData>
    <row r="3" spans="2:14" ht="13" thickBot="1" x14ac:dyDescent="0.3"/>
    <row r="4" spans="2:14" ht="13" x14ac:dyDescent="0.3">
      <c r="B4" s="707"/>
      <c r="C4" s="1083" t="s">
        <v>1435</v>
      </c>
      <c r="D4" s="984"/>
      <c r="E4" s="984"/>
      <c r="F4" s="984"/>
      <c r="G4" s="984"/>
      <c r="H4" s="984"/>
      <c r="I4" s="984"/>
      <c r="J4" s="984"/>
      <c r="K4" s="984"/>
      <c r="L4" s="984"/>
      <c r="M4" s="984"/>
      <c r="N4" s="709"/>
    </row>
    <row r="5" spans="2:14" x14ac:dyDescent="0.25">
      <c r="B5" s="1082" t="s">
        <v>1187</v>
      </c>
      <c r="C5" s="1049"/>
      <c r="D5" s="706">
        <v>10</v>
      </c>
      <c r="E5" s="706">
        <v>15</v>
      </c>
      <c r="F5" s="706">
        <v>20</v>
      </c>
      <c r="G5" s="706">
        <v>30</v>
      </c>
      <c r="H5" s="706">
        <v>40</v>
      </c>
      <c r="I5" s="706">
        <v>50</v>
      </c>
      <c r="J5" s="706">
        <v>60</v>
      </c>
      <c r="K5" s="706">
        <v>70</v>
      </c>
      <c r="L5" s="706">
        <v>80</v>
      </c>
      <c r="M5" s="706">
        <v>90</v>
      </c>
      <c r="N5" s="710">
        <v>100</v>
      </c>
    </row>
    <row r="6" spans="2:14" x14ac:dyDescent="0.25">
      <c r="B6" s="1082" t="s">
        <v>1186</v>
      </c>
      <c r="C6" s="1049"/>
      <c r="D6" s="28"/>
      <c r="E6" s="28"/>
      <c r="F6" s="28"/>
      <c r="G6" s="28"/>
      <c r="H6" s="28"/>
      <c r="I6" s="28"/>
      <c r="J6" s="28"/>
      <c r="K6" s="28"/>
      <c r="L6" s="28"/>
      <c r="M6" s="28"/>
      <c r="N6" s="49"/>
    </row>
    <row r="7" spans="2:14" x14ac:dyDescent="0.25">
      <c r="B7" s="711">
        <v>50</v>
      </c>
      <c r="C7" s="28"/>
      <c r="D7" s="616" t="s">
        <v>1188</v>
      </c>
      <c r="E7" s="28" t="s">
        <v>1189</v>
      </c>
      <c r="F7" s="28" t="s">
        <v>1190</v>
      </c>
      <c r="G7" s="28" t="s">
        <v>1191</v>
      </c>
      <c r="H7" s="28" t="s">
        <v>1192</v>
      </c>
      <c r="I7" s="28" t="s">
        <v>1193</v>
      </c>
      <c r="J7" s="28" t="s">
        <v>1194</v>
      </c>
      <c r="K7" s="28" t="s">
        <v>1195</v>
      </c>
      <c r="L7" s="28" t="s">
        <v>1196</v>
      </c>
      <c r="M7" s="28" t="s">
        <v>1197</v>
      </c>
      <c r="N7" s="49" t="s">
        <v>1198</v>
      </c>
    </row>
    <row r="8" spans="2:14" x14ac:dyDescent="0.25">
      <c r="B8" s="711">
        <v>63</v>
      </c>
      <c r="C8" s="28"/>
      <c r="D8" s="28" t="s">
        <v>1199</v>
      </c>
      <c r="E8" s="28" t="s">
        <v>1200</v>
      </c>
      <c r="F8" s="28" t="s">
        <v>1201</v>
      </c>
      <c r="G8" s="28" t="s">
        <v>1202</v>
      </c>
      <c r="H8" s="28" t="s">
        <v>1203</v>
      </c>
      <c r="I8" s="28" t="s">
        <v>1204</v>
      </c>
      <c r="J8" s="28" t="s">
        <v>1205</v>
      </c>
      <c r="K8" s="28" t="s">
        <v>1206</v>
      </c>
      <c r="L8" s="28" t="s">
        <v>1207</v>
      </c>
      <c r="M8" s="28" t="s">
        <v>1208</v>
      </c>
      <c r="N8" s="49" t="s">
        <v>1209</v>
      </c>
    </row>
    <row r="9" spans="2:14" x14ac:dyDescent="0.25">
      <c r="B9" s="711">
        <v>80</v>
      </c>
      <c r="C9" s="28"/>
      <c r="D9" s="28" t="s">
        <v>1210</v>
      </c>
      <c r="E9" s="28" t="s">
        <v>1211</v>
      </c>
      <c r="F9" s="28" t="s">
        <v>1212</v>
      </c>
      <c r="G9" s="28" t="s">
        <v>1213</v>
      </c>
      <c r="H9" s="28" t="s">
        <v>1214</v>
      </c>
      <c r="I9" s="28" t="s">
        <v>1215</v>
      </c>
      <c r="J9" s="28" t="s">
        <v>1216</v>
      </c>
      <c r="K9" s="28" t="s">
        <v>1217</v>
      </c>
      <c r="L9" s="28" t="s">
        <v>1218</v>
      </c>
      <c r="M9" s="28" t="s">
        <v>1219</v>
      </c>
      <c r="N9" s="49" t="s">
        <v>1220</v>
      </c>
    </row>
    <row r="10" spans="2:14" x14ac:dyDescent="0.25">
      <c r="B10" s="711">
        <v>100</v>
      </c>
      <c r="C10" s="28"/>
      <c r="D10" s="28" t="s">
        <v>1221</v>
      </c>
      <c r="E10" s="28" t="s">
        <v>1222</v>
      </c>
      <c r="F10" s="28" t="s">
        <v>1223</v>
      </c>
      <c r="G10" s="28" t="s">
        <v>1224</v>
      </c>
      <c r="H10" s="28" t="s">
        <v>1225</v>
      </c>
      <c r="I10" s="28" t="s">
        <v>1226</v>
      </c>
      <c r="J10" s="28" t="s">
        <v>1227</v>
      </c>
      <c r="K10" s="28" t="s">
        <v>1228</v>
      </c>
      <c r="L10" s="28" t="s">
        <v>1229</v>
      </c>
      <c r="M10" s="28" t="s">
        <v>1190</v>
      </c>
      <c r="N10" s="49" t="s">
        <v>1230</v>
      </c>
    </row>
    <row r="11" spans="2:14" x14ac:dyDescent="0.25">
      <c r="B11" s="711">
        <v>125</v>
      </c>
      <c r="C11" s="28"/>
      <c r="D11" s="28" t="s">
        <v>1231</v>
      </c>
      <c r="E11" s="28" t="s">
        <v>1232</v>
      </c>
      <c r="F11" s="28" t="s">
        <v>1233</v>
      </c>
      <c r="G11" s="28" t="s">
        <v>1234</v>
      </c>
      <c r="H11" s="28" t="s">
        <v>1235</v>
      </c>
      <c r="I11" s="28" t="s">
        <v>1236</v>
      </c>
      <c r="J11" s="28" t="s">
        <v>1237</v>
      </c>
      <c r="K11" s="28" t="s">
        <v>1238</v>
      </c>
      <c r="L11" s="28" t="s">
        <v>1239</v>
      </c>
      <c r="M11" s="28" t="s">
        <v>1240</v>
      </c>
      <c r="N11" s="49" t="s">
        <v>1241</v>
      </c>
    </row>
    <row r="12" spans="2:14" x14ac:dyDescent="0.25">
      <c r="B12" s="711">
        <v>160</v>
      </c>
      <c r="C12" s="28"/>
      <c r="D12" s="28" t="s">
        <v>1242</v>
      </c>
      <c r="E12" s="28" t="s">
        <v>1243</v>
      </c>
      <c r="F12" s="28" t="s">
        <v>1244</v>
      </c>
      <c r="G12" s="28" t="s">
        <v>1245</v>
      </c>
      <c r="H12" s="28" t="s">
        <v>1246</v>
      </c>
      <c r="I12" s="28" t="s">
        <v>1247</v>
      </c>
      <c r="J12" s="28" t="s">
        <v>1248</v>
      </c>
      <c r="K12" s="28" t="s">
        <v>1249</v>
      </c>
      <c r="L12" s="28" t="s">
        <v>1250</v>
      </c>
      <c r="M12" s="28" t="s">
        <v>1251</v>
      </c>
      <c r="N12" s="49" t="s">
        <v>1252</v>
      </c>
    </row>
    <row r="13" spans="2:14" x14ac:dyDescent="0.25">
      <c r="B13" s="711">
        <v>200</v>
      </c>
      <c r="C13" s="28"/>
      <c r="D13" s="28" t="s">
        <v>1253</v>
      </c>
      <c r="E13" s="28" t="s">
        <v>1254</v>
      </c>
      <c r="F13" s="28" t="s">
        <v>1254</v>
      </c>
      <c r="G13" s="28" t="s">
        <v>1255</v>
      </c>
      <c r="H13" s="28" t="s">
        <v>1256</v>
      </c>
      <c r="I13" s="28" t="s">
        <v>1257</v>
      </c>
      <c r="J13" s="28" t="s">
        <v>1258</v>
      </c>
      <c r="K13" s="28" t="s">
        <v>1231</v>
      </c>
      <c r="L13" s="28" t="s">
        <v>1259</v>
      </c>
      <c r="M13" s="28" t="s">
        <v>1260</v>
      </c>
      <c r="N13" s="49" t="s">
        <v>1261</v>
      </c>
    </row>
    <row r="14" spans="2:14" x14ac:dyDescent="0.25">
      <c r="B14" s="711">
        <v>250</v>
      </c>
      <c r="C14" s="28"/>
      <c r="D14" s="28" t="s">
        <v>1262</v>
      </c>
      <c r="E14" s="28" t="s">
        <v>1263</v>
      </c>
      <c r="F14" s="28" t="s">
        <v>1263</v>
      </c>
      <c r="G14" s="28" t="s">
        <v>1264</v>
      </c>
      <c r="H14" s="28" t="s">
        <v>1263</v>
      </c>
      <c r="I14" s="28" t="s">
        <v>1265</v>
      </c>
      <c r="J14" s="28" t="s">
        <v>1266</v>
      </c>
      <c r="K14" s="28" t="s">
        <v>1267</v>
      </c>
      <c r="L14" s="28" t="s">
        <v>1268</v>
      </c>
      <c r="M14" s="28" t="s">
        <v>1269</v>
      </c>
      <c r="N14" s="49" t="s">
        <v>1270</v>
      </c>
    </row>
    <row r="15" spans="2:14" x14ac:dyDescent="0.25">
      <c r="B15" s="711">
        <v>315</v>
      </c>
      <c r="C15" s="28"/>
      <c r="D15" s="28" t="s">
        <v>1271</v>
      </c>
      <c r="E15" s="28" t="s">
        <v>1272</v>
      </c>
      <c r="F15" s="28" t="s">
        <v>1273</v>
      </c>
      <c r="G15" s="28" t="s">
        <v>1274</v>
      </c>
      <c r="H15" s="28" t="s">
        <v>1275</v>
      </c>
      <c r="I15" s="28" t="s">
        <v>1274</v>
      </c>
      <c r="J15" s="28" t="s">
        <v>1276</v>
      </c>
      <c r="K15" s="28" t="s">
        <v>1277</v>
      </c>
      <c r="L15" s="28" t="s">
        <v>1278</v>
      </c>
      <c r="M15" s="28" t="s">
        <v>1279</v>
      </c>
      <c r="N15" s="49" t="s">
        <v>1280</v>
      </c>
    </row>
    <row r="16" spans="2:14" x14ac:dyDescent="0.25">
      <c r="B16" s="711">
        <v>400</v>
      </c>
      <c r="C16" s="28"/>
      <c r="D16" s="28" t="s">
        <v>1281</v>
      </c>
      <c r="E16" s="28" t="s">
        <v>1282</v>
      </c>
      <c r="F16" s="28" t="s">
        <v>1283</v>
      </c>
      <c r="G16" s="28" t="s">
        <v>1284</v>
      </c>
      <c r="H16" s="28" t="s">
        <v>1285</v>
      </c>
      <c r="I16" s="28" t="s">
        <v>1282</v>
      </c>
      <c r="J16" s="28" t="s">
        <v>1286</v>
      </c>
      <c r="K16" s="28" t="s">
        <v>1287</v>
      </c>
      <c r="L16" s="28" t="s">
        <v>1288</v>
      </c>
      <c r="M16" s="28" t="s">
        <v>1289</v>
      </c>
      <c r="N16" s="49" t="s">
        <v>1290</v>
      </c>
    </row>
    <row r="17" spans="2:14" x14ac:dyDescent="0.25">
      <c r="B17" s="711">
        <v>500</v>
      </c>
      <c r="C17" s="28"/>
      <c r="D17" s="28" t="s">
        <v>1291</v>
      </c>
      <c r="E17" s="28" t="s">
        <v>1292</v>
      </c>
      <c r="F17" s="28" t="s">
        <v>1293</v>
      </c>
      <c r="G17" s="28" t="s">
        <v>1294</v>
      </c>
      <c r="H17" s="28" t="s">
        <v>1295</v>
      </c>
      <c r="I17" s="28" t="s">
        <v>1296</v>
      </c>
      <c r="J17" s="28" t="s">
        <v>1297</v>
      </c>
      <c r="K17" s="28" t="s">
        <v>1298</v>
      </c>
      <c r="L17" s="28" t="s">
        <v>1299</v>
      </c>
      <c r="M17" s="28" t="s">
        <v>1300</v>
      </c>
      <c r="N17" s="49" t="s">
        <v>1295</v>
      </c>
    </row>
    <row r="18" spans="2:14" x14ac:dyDescent="0.25">
      <c r="B18" s="711">
        <v>630</v>
      </c>
      <c r="C18" s="28"/>
      <c r="D18" s="28" t="s">
        <v>1301</v>
      </c>
      <c r="E18" s="28" t="s">
        <v>1302</v>
      </c>
      <c r="F18" s="28" t="s">
        <v>1303</v>
      </c>
      <c r="G18" s="28" t="s">
        <v>1304</v>
      </c>
      <c r="H18" s="28" t="s">
        <v>1305</v>
      </c>
      <c r="I18" s="28" t="s">
        <v>1306</v>
      </c>
      <c r="J18" s="28" t="s">
        <v>1307</v>
      </c>
      <c r="K18" s="28" t="s">
        <v>1308</v>
      </c>
      <c r="L18" s="28" t="s">
        <v>1309</v>
      </c>
      <c r="M18" s="28" t="s">
        <v>1309</v>
      </c>
      <c r="N18" s="49" t="s">
        <v>1310</v>
      </c>
    </row>
    <row r="19" spans="2:14" x14ac:dyDescent="0.25">
      <c r="B19" s="711">
        <v>800</v>
      </c>
      <c r="C19" s="28"/>
      <c r="D19" s="28" t="s">
        <v>1311</v>
      </c>
      <c r="E19" s="28" t="s">
        <v>1312</v>
      </c>
      <c r="F19" s="28" t="s">
        <v>1313</v>
      </c>
      <c r="G19" s="28" t="s">
        <v>1314</v>
      </c>
      <c r="H19" s="28" t="s">
        <v>1315</v>
      </c>
      <c r="I19" s="28" t="s">
        <v>1316</v>
      </c>
      <c r="J19" s="28" t="s">
        <v>1317</v>
      </c>
      <c r="K19" s="28" t="s">
        <v>1318</v>
      </c>
      <c r="L19" s="28" t="s">
        <v>1319</v>
      </c>
      <c r="M19" s="28" t="s">
        <v>1320</v>
      </c>
      <c r="N19" s="49" t="s">
        <v>1321</v>
      </c>
    </row>
    <row r="20" spans="2:14" x14ac:dyDescent="0.25">
      <c r="B20" s="711">
        <v>1000</v>
      </c>
      <c r="C20" s="28"/>
      <c r="D20" s="28" t="s">
        <v>1279</v>
      </c>
      <c r="E20" s="28" t="s">
        <v>1322</v>
      </c>
      <c r="F20" s="28" t="s">
        <v>1323</v>
      </c>
      <c r="G20" s="28" t="s">
        <v>1324</v>
      </c>
      <c r="H20" s="28" t="s">
        <v>1325</v>
      </c>
      <c r="I20" s="28" t="s">
        <v>1326</v>
      </c>
      <c r="J20" s="28" t="s">
        <v>1327</v>
      </c>
      <c r="K20" s="28" t="s">
        <v>1328</v>
      </c>
      <c r="L20" s="28" t="s">
        <v>1329</v>
      </c>
      <c r="M20" s="28" t="s">
        <v>1330</v>
      </c>
      <c r="N20" s="49" t="s">
        <v>1331</v>
      </c>
    </row>
    <row r="21" spans="2:14" x14ac:dyDescent="0.25">
      <c r="B21" s="711">
        <v>1250</v>
      </c>
      <c r="C21" s="28"/>
      <c r="D21" s="28" t="s">
        <v>1332</v>
      </c>
      <c r="E21" s="28" t="s">
        <v>1333</v>
      </c>
      <c r="F21" s="28" t="s">
        <v>1334</v>
      </c>
      <c r="G21" s="28" t="s">
        <v>1335</v>
      </c>
      <c r="H21" s="28" t="s">
        <v>1336</v>
      </c>
      <c r="I21" s="28" t="s">
        <v>1337</v>
      </c>
      <c r="J21" s="28" t="s">
        <v>1338</v>
      </c>
      <c r="K21" s="28" t="s">
        <v>1312</v>
      </c>
      <c r="L21" s="28" t="s">
        <v>1339</v>
      </c>
      <c r="M21" s="28" t="s">
        <v>1340</v>
      </c>
      <c r="N21" s="49" t="s">
        <v>1341</v>
      </c>
    </row>
    <row r="22" spans="2:14" x14ac:dyDescent="0.25">
      <c r="B22" s="711">
        <v>1600</v>
      </c>
      <c r="C22" s="28"/>
      <c r="D22" s="28" t="s">
        <v>1342</v>
      </c>
      <c r="E22" s="28" t="s">
        <v>1343</v>
      </c>
      <c r="F22" s="28" t="s">
        <v>1344</v>
      </c>
      <c r="G22" s="28" t="s">
        <v>1345</v>
      </c>
      <c r="H22" s="28" t="s">
        <v>1346</v>
      </c>
      <c r="I22" s="28" t="s">
        <v>1347</v>
      </c>
      <c r="J22" s="28" t="s">
        <v>1348</v>
      </c>
      <c r="K22" s="28" t="s">
        <v>1349</v>
      </c>
      <c r="L22" s="28" t="s">
        <v>1350</v>
      </c>
      <c r="M22" s="28" t="s">
        <v>1351</v>
      </c>
      <c r="N22" s="49" t="s">
        <v>1352</v>
      </c>
    </row>
    <row r="23" spans="2:14" x14ac:dyDescent="0.25">
      <c r="B23" s="711">
        <v>2000</v>
      </c>
      <c r="C23" s="28"/>
      <c r="D23" s="28" t="s">
        <v>1353</v>
      </c>
      <c r="E23" s="28" t="s">
        <v>1354</v>
      </c>
      <c r="F23" s="28" t="s">
        <v>1355</v>
      </c>
      <c r="G23" s="28" t="s">
        <v>1356</v>
      </c>
      <c r="H23" s="28" t="s">
        <v>1357</v>
      </c>
      <c r="I23" s="28" t="s">
        <v>1358</v>
      </c>
      <c r="J23" s="28" t="s">
        <v>1359</v>
      </c>
      <c r="K23" s="28" t="s">
        <v>1360</v>
      </c>
      <c r="L23" s="28" t="s">
        <v>1361</v>
      </c>
      <c r="M23" s="28" t="s">
        <v>1362</v>
      </c>
      <c r="N23" s="49" t="s">
        <v>1363</v>
      </c>
    </row>
    <row r="24" spans="2:14" x14ac:dyDescent="0.25">
      <c r="B24" s="711">
        <v>2500</v>
      </c>
      <c r="C24" s="28"/>
      <c r="D24" s="28" t="s">
        <v>1364</v>
      </c>
      <c r="E24" s="28" t="s">
        <v>1365</v>
      </c>
      <c r="F24" s="28" t="s">
        <v>1366</v>
      </c>
      <c r="G24" s="28" t="s">
        <v>1367</v>
      </c>
      <c r="H24" s="28" t="s">
        <v>1368</v>
      </c>
      <c r="I24" s="28" t="s">
        <v>1369</v>
      </c>
      <c r="J24" s="28" t="s">
        <v>1370</v>
      </c>
      <c r="K24" s="28" t="s">
        <v>1371</v>
      </c>
      <c r="L24" s="28" t="s">
        <v>1372</v>
      </c>
      <c r="M24" s="28" t="s">
        <v>1373</v>
      </c>
      <c r="N24" s="49" t="s">
        <v>1373</v>
      </c>
    </row>
    <row r="25" spans="2:14" x14ac:dyDescent="0.25">
      <c r="B25" s="711">
        <v>3150</v>
      </c>
      <c r="C25" s="28"/>
      <c r="D25" s="28" t="s">
        <v>1374</v>
      </c>
      <c r="E25" s="28" t="s">
        <v>1375</v>
      </c>
      <c r="F25" s="28" t="s">
        <v>1376</v>
      </c>
      <c r="G25" s="28" t="s">
        <v>1377</v>
      </c>
      <c r="H25" s="28" t="s">
        <v>1378</v>
      </c>
      <c r="I25" s="28" t="s">
        <v>1343</v>
      </c>
      <c r="J25" s="28" t="s">
        <v>1379</v>
      </c>
      <c r="K25" s="28" t="s">
        <v>1368</v>
      </c>
      <c r="L25" s="28" t="s">
        <v>1380</v>
      </c>
      <c r="M25" s="28" t="s">
        <v>1381</v>
      </c>
      <c r="N25" s="49" t="s">
        <v>1382</v>
      </c>
    </row>
    <row r="26" spans="2:14" x14ac:dyDescent="0.25">
      <c r="B26" s="711">
        <v>4000</v>
      </c>
      <c r="C26" s="28"/>
      <c r="D26" s="28" t="s">
        <v>1383</v>
      </c>
      <c r="E26" s="28" t="s">
        <v>1384</v>
      </c>
      <c r="F26" s="28" t="s">
        <v>1385</v>
      </c>
      <c r="G26" s="28" t="s">
        <v>1386</v>
      </c>
      <c r="H26" s="28" t="s">
        <v>1387</v>
      </c>
      <c r="I26" s="28" t="s">
        <v>1388</v>
      </c>
      <c r="J26" s="28" t="s">
        <v>1389</v>
      </c>
      <c r="K26" s="28" t="s">
        <v>1390</v>
      </c>
      <c r="L26" s="28" t="s">
        <v>1391</v>
      </c>
      <c r="M26" s="28" t="s">
        <v>1392</v>
      </c>
      <c r="N26" s="49" t="s">
        <v>1393</v>
      </c>
    </row>
    <row r="27" spans="2:14" x14ac:dyDescent="0.25">
      <c r="B27" s="711">
        <v>5000</v>
      </c>
      <c r="C27" s="28"/>
      <c r="D27" s="28" t="s">
        <v>1394</v>
      </c>
      <c r="E27" s="28" t="s">
        <v>1395</v>
      </c>
      <c r="F27" s="28" t="s">
        <v>1383</v>
      </c>
      <c r="G27" s="28" t="s">
        <v>1396</v>
      </c>
      <c r="H27" s="28" t="s">
        <v>1397</v>
      </c>
      <c r="I27" s="28" t="s">
        <v>1398</v>
      </c>
      <c r="J27" s="28" t="s">
        <v>1399</v>
      </c>
      <c r="K27" s="28" t="s">
        <v>1400</v>
      </c>
      <c r="L27" s="28" t="s">
        <v>1401</v>
      </c>
      <c r="M27" s="28" t="s">
        <v>1402</v>
      </c>
      <c r="N27" s="49" t="s">
        <v>1403</v>
      </c>
    </row>
    <row r="28" spans="2:14" x14ac:dyDescent="0.25">
      <c r="B28" s="711">
        <v>6300</v>
      </c>
      <c r="C28" s="28"/>
      <c r="D28" s="28" t="s">
        <v>1404</v>
      </c>
      <c r="E28" s="28" t="s">
        <v>1405</v>
      </c>
      <c r="F28" s="28" t="s">
        <v>1404</v>
      </c>
      <c r="G28" s="28" t="s">
        <v>1406</v>
      </c>
      <c r="H28" s="28" t="s">
        <v>1407</v>
      </c>
      <c r="I28" s="28" t="s">
        <v>1408</v>
      </c>
      <c r="J28" s="28" t="s">
        <v>1409</v>
      </c>
      <c r="K28" s="28" t="s">
        <v>1410</v>
      </c>
      <c r="L28" s="28" t="s">
        <v>1411</v>
      </c>
      <c r="M28" s="28" t="s">
        <v>1412</v>
      </c>
      <c r="N28" s="49" t="s">
        <v>1413</v>
      </c>
    </row>
    <row r="29" spans="2:14" x14ac:dyDescent="0.25">
      <c r="B29" s="711">
        <v>8000</v>
      </c>
      <c r="C29" s="28"/>
      <c r="D29" s="28" t="s">
        <v>1405</v>
      </c>
      <c r="E29" s="28" t="s">
        <v>1414</v>
      </c>
      <c r="F29" s="28" t="s">
        <v>1415</v>
      </c>
      <c r="G29" s="28" t="s">
        <v>1416</v>
      </c>
      <c r="H29" s="28" t="s">
        <v>1417</v>
      </c>
      <c r="I29" s="28" t="s">
        <v>1418</v>
      </c>
      <c r="J29" s="28" t="s">
        <v>1419</v>
      </c>
      <c r="K29" s="28" t="s">
        <v>1420</v>
      </c>
      <c r="L29" s="28" t="s">
        <v>1421</v>
      </c>
      <c r="M29" s="28" t="s">
        <v>1422</v>
      </c>
      <c r="N29" s="49" t="s">
        <v>1423</v>
      </c>
    </row>
    <row r="30" spans="2:14" ht="13" thickBot="1" x14ac:dyDescent="0.3">
      <c r="B30" s="712">
        <v>10000</v>
      </c>
      <c r="C30" s="47"/>
      <c r="D30" s="47" t="s">
        <v>1424</v>
      </c>
      <c r="E30" s="47" t="s">
        <v>1425</v>
      </c>
      <c r="F30" s="47" t="s">
        <v>1426</v>
      </c>
      <c r="G30" s="47" t="s">
        <v>1427</v>
      </c>
      <c r="H30" s="47" t="s">
        <v>1428</v>
      </c>
      <c r="I30" s="47" t="s">
        <v>1429</v>
      </c>
      <c r="J30" s="47" t="s">
        <v>1430</v>
      </c>
      <c r="K30" s="47" t="s">
        <v>1431</v>
      </c>
      <c r="L30" s="47" t="s">
        <v>1432</v>
      </c>
      <c r="M30" s="47" t="s">
        <v>1433</v>
      </c>
      <c r="N30" s="713" t="s">
        <v>1434</v>
      </c>
    </row>
  </sheetData>
  <mergeCells count="3">
    <mergeCell ref="B5:C5"/>
    <mergeCell ref="B6:C6"/>
    <mergeCell ref="C4:M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57"/>
  <sheetViews>
    <sheetView workbookViewId="0">
      <selection activeCell="L2" sqref="L2"/>
    </sheetView>
  </sheetViews>
  <sheetFormatPr defaultRowHeight="12.5" x14ac:dyDescent="0.25"/>
  <cols>
    <col min="1" max="1" width="68.54296875" customWidth="1"/>
    <col min="2" max="2" width="11.453125" customWidth="1"/>
    <col min="3" max="3" width="13.1796875" customWidth="1"/>
    <col min="4" max="4" width="16.7265625" customWidth="1"/>
    <col min="5" max="5" width="14.7265625" customWidth="1"/>
    <col min="6" max="6" width="17.1796875" customWidth="1"/>
    <col min="7" max="7" width="10.7265625" customWidth="1"/>
    <col min="8" max="8" width="10.26953125" customWidth="1"/>
    <col min="9" max="9" width="14" customWidth="1"/>
    <col min="10" max="10" width="14.7265625" customWidth="1"/>
    <col min="11" max="11" width="16.7265625" customWidth="1"/>
    <col min="12" max="12" width="41" customWidth="1"/>
    <col min="257" max="257" width="68.54296875" customWidth="1"/>
    <col min="258" max="258" width="11.453125" customWidth="1"/>
    <col min="259" max="259" width="13.1796875" customWidth="1"/>
    <col min="260" max="260" width="16.7265625" customWidth="1"/>
    <col min="261" max="261" width="14.7265625" customWidth="1"/>
    <col min="262" max="262" width="17.1796875" customWidth="1"/>
    <col min="263" max="263" width="10.7265625" customWidth="1"/>
    <col min="264" max="264" width="10.26953125" customWidth="1"/>
    <col min="265" max="265" width="14" customWidth="1"/>
    <col min="266" max="266" width="14.7265625" customWidth="1"/>
    <col min="267" max="267" width="16.7265625" customWidth="1"/>
    <col min="268" max="268" width="41" customWidth="1"/>
    <col min="513" max="513" width="68.54296875" customWidth="1"/>
    <col min="514" max="514" width="11.453125" customWidth="1"/>
    <col min="515" max="515" width="13.1796875" customWidth="1"/>
    <col min="516" max="516" width="16.7265625" customWidth="1"/>
    <col min="517" max="517" width="14.7265625" customWidth="1"/>
    <col min="518" max="518" width="17.1796875" customWidth="1"/>
    <col min="519" max="519" width="10.7265625" customWidth="1"/>
    <col min="520" max="520" width="10.26953125" customWidth="1"/>
    <col min="521" max="521" width="14" customWidth="1"/>
    <col min="522" max="522" width="14.7265625" customWidth="1"/>
    <col min="523" max="523" width="16.7265625" customWidth="1"/>
    <col min="524" max="524" width="41" customWidth="1"/>
    <col min="769" max="769" width="68.54296875" customWidth="1"/>
    <col min="770" max="770" width="11.453125" customWidth="1"/>
    <col min="771" max="771" width="13.1796875" customWidth="1"/>
    <col min="772" max="772" width="16.7265625" customWidth="1"/>
    <col min="773" max="773" width="14.7265625" customWidth="1"/>
    <col min="774" max="774" width="17.1796875" customWidth="1"/>
    <col min="775" max="775" width="10.7265625" customWidth="1"/>
    <col min="776" max="776" width="10.26953125" customWidth="1"/>
    <col min="777" max="777" width="14" customWidth="1"/>
    <col min="778" max="778" width="14.7265625" customWidth="1"/>
    <col min="779" max="779" width="16.7265625" customWidth="1"/>
    <col min="780" max="780" width="41" customWidth="1"/>
    <col min="1025" max="1025" width="68.54296875" customWidth="1"/>
    <col min="1026" max="1026" width="11.453125" customWidth="1"/>
    <col min="1027" max="1027" width="13.1796875" customWidth="1"/>
    <col min="1028" max="1028" width="16.7265625" customWidth="1"/>
    <col min="1029" max="1029" width="14.7265625" customWidth="1"/>
    <col min="1030" max="1030" width="17.1796875" customWidth="1"/>
    <col min="1031" max="1031" width="10.7265625" customWidth="1"/>
    <col min="1032" max="1032" width="10.26953125" customWidth="1"/>
    <col min="1033" max="1033" width="14" customWidth="1"/>
    <col min="1034" max="1034" width="14.7265625" customWidth="1"/>
    <col min="1035" max="1035" width="16.7265625" customWidth="1"/>
    <col min="1036" max="1036" width="41" customWidth="1"/>
    <col min="1281" max="1281" width="68.54296875" customWidth="1"/>
    <col min="1282" max="1282" width="11.453125" customWidth="1"/>
    <col min="1283" max="1283" width="13.1796875" customWidth="1"/>
    <col min="1284" max="1284" width="16.7265625" customWidth="1"/>
    <col min="1285" max="1285" width="14.7265625" customWidth="1"/>
    <col min="1286" max="1286" width="17.1796875" customWidth="1"/>
    <col min="1287" max="1287" width="10.7265625" customWidth="1"/>
    <col min="1288" max="1288" width="10.26953125" customWidth="1"/>
    <col min="1289" max="1289" width="14" customWidth="1"/>
    <col min="1290" max="1290" width="14.7265625" customWidth="1"/>
    <col min="1291" max="1291" width="16.7265625" customWidth="1"/>
    <col min="1292" max="1292" width="41" customWidth="1"/>
    <col min="1537" max="1537" width="68.54296875" customWidth="1"/>
    <col min="1538" max="1538" width="11.453125" customWidth="1"/>
    <col min="1539" max="1539" width="13.1796875" customWidth="1"/>
    <col min="1540" max="1540" width="16.7265625" customWidth="1"/>
    <col min="1541" max="1541" width="14.7265625" customWidth="1"/>
    <col min="1542" max="1542" width="17.1796875" customWidth="1"/>
    <col min="1543" max="1543" width="10.7265625" customWidth="1"/>
    <col min="1544" max="1544" width="10.26953125" customWidth="1"/>
    <col min="1545" max="1545" width="14" customWidth="1"/>
    <col min="1546" max="1546" width="14.7265625" customWidth="1"/>
    <col min="1547" max="1547" width="16.7265625" customWidth="1"/>
    <col min="1548" max="1548" width="41" customWidth="1"/>
    <col min="1793" max="1793" width="68.54296875" customWidth="1"/>
    <col min="1794" max="1794" width="11.453125" customWidth="1"/>
    <col min="1795" max="1795" width="13.1796875" customWidth="1"/>
    <col min="1796" max="1796" width="16.7265625" customWidth="1"/>
    <col min="1797" max="1797" width="14.7265625" customWidth="1"/>
    <col min="1798" max="1798" width="17.1796875" customWidth="1"/>
    <col min="1799" max="1799" width="10.7265625" customWidth="1"/>
    <col min="1800" max="1800" width="10.26953125" customWidth="1"/>
    <col min="1801" max="1801" width="14" customWidth="1"/>
    <col min="1802" max="1802" width="14.7265625" customWidth="1"/>
    <col min="1803" max="1803" width="16.7265625" customWidth="1"/>
    <col min="1804" max="1804" width="41" customWidth="1"/>
    <col min="2049" max="2049" width="68.54296875" customWidth="1"/>
    <col min="2050" max="2050" width="11.453125" customWidth="1"/>
    <col min="2051" max="2051" width="13.1796875" customWidth="1"/>
    <col min="2052" max="2052" width="16.7265625" customWidth="1"/>
    <col min="2053" max="2053" width="14.7265625" customWidth="1"/>
    <col min="2054" max="2054" width="17.1796875" customWidth="1"/>
    <col min="2055" max="2055" width="10.7265625" customWidth="1"/>
    <col min="2056" max="2056" width="10.26953125" customWidth="1"/>
    <col min="2057" max="2057" width="14" customWidth="1"/>
    <col min="2058" max="2058" width="14.7265625" customWidth="1"/>
    <col min="2059" max="2059" width="16.7265625" customWidth="1"/>
    <col min="2060" max="2060" width="41" customWidth="1"/>
    <col min="2305" max="2305" width="68.54296875" customWidth="1"/>
    <col min="2306" max="2306" width="11.453125" customWidth="1"/>
    <col min="2307" max="2307" width="13.1796875" customWidth="1"/>
    <col min="2308" max="2308" width="16.7265625" customWidth="1"/>
    <col min="2309" max="2309" width="14.7265625" customWidth="1"/>
    <col min="2310" max="2310" width="17.1796875" customWidth="1"/>
    <col min="2311" max="2311" width="10.7265625" customWidth="1"/>
    <col min="2312" max="2312" width="10.26953125" customWidth="1"/>
    <col min="2313" max="2313" width="14" customWidth="1"/>
    <col min="2314" max="2314" width="14.7265625" customWidth="1"/>
    <col min="2315" max="2315" width="16.7265625" customWidth="1"/>
    <col min="2316" max="2316" width="41" customWidth="1"/>
    <col min="2561" max="2561" width="68.54296875" customWidth="1"/>
    <col min="2562" max="2562" width="11.453125" customWidth="1"/>
    <col min="2563" max="2563" width="13.1796875" customWidth="1"/>
    <col min="2564" max="2564" width="16.7265625" customWidth="1"/>
    <col min="2565" max="2565" width="14.7265625" customWidth="1"/>
    <col min="2566" max="2566" width="17.1796875" customWidth="1"/>
    <col min="2567" max="2567" width="10.7265625" customWidth="1"/>
    <col min="2568" max="2568" width="10.26953125" customWidth="1"/>
    <col min="2569" max="2569" width="14" customWidth="1"/>
    <col min="2570" max="2570" width="14.7265625" customWidth="1"/>
    <col min="2571" max="2571" width="16.7265625" customWidth="1"/>
    <col min="2572" max="2572" width="41" customWidth="1"/>
    <col min="2817" max="2817" width="68.54296875" customWidth="1"/>
    <col min="2818" max="2818" width="11.453125" customWidth="1"/>
    <col min="2819" max="2819" width="13.1796875" customWidth="1"/>
    <col min="2820" max="2820" width="16.7265625" customWidth="1"/>
    <col min="2821" max="2821" width="14.7265625" customWidth="1"/>
    <col min="2822" max="2822" width="17.1796875" customWidth="1"/>
    <col min="2823" max="2823" width="10.7265625" customWidth="1"/>
    <col min="2824" max="2824" width="10.26953125" customWidth="1"/>
    <col min="2825" max="2825" width="14" customWidth="1"/>
    <col min="2826" max="2826" width="14.7265625" customWidth="1"/>
    <col min="2827" max="2827" width="16.7265625" customWidth="1"/>
    <col min="2828" max="2828" width="41" customWidth="1"/>
    <col min="3073" max="3073" width="68.54296875" customWidth="1"/>
    <col min="3074" max="3074" width="11.453125" customWidth="1"/>
    <col min="3075" max="3075" width="13.1796875" customWidth="1"/>
    <col min="3076" max="3076" width="16.7265625" customWidth="1"/>
    <col min="3077" max="3077" width="14.7265625" customWidth="1"/>
    <col min="3078" max="3078" width="17.1796875" customWidth="1"/>
    <col min="3079" max="3079" width="10.7265625" customWidth="1"/>
    <col min="3080" max="3080" width="10.26953125" customWidth="1"/>
    <col min="3081" max="3081" width="14" customWidth="1"/>
    <col min="3082" max="3082" width="14.7265625" customWidth="1"/>
    <col min="3083" max="3083" width="16.7265625" customWidth="1"/>
    <col min="3084" max="3084" width="41" customWidth="1"/>
    <col min="3329" max="3329" width="68.54296875" customWidth="1"/>
    <col min="3330" max="3330" width="11.453125" customWidth="1"/>
    <col min="3331" max="3331" width="13.1796875" customWidth="1"/>
    <col min="3332" max="3332" width="16.7265625" customWidth="1"/>
    <col min="3333" max="3333" width="14.7265625" customWidth="1"/>
    <col min="3334" max="3334" width="17.1796875" customWidth="1"/>
    <col min="3335" max="3335" width="10.7265625" customWidth="1"/>
    <col min="3336" max="3336" width="10.26953125" customWidth="1"/>
    <col min="3337" max="3337" width="14" customWidth="1"/>
    <col min="3338" max="3338" width="14.7265625" customWidth="1"/>
    <col min="3339" max="3339" width="16.7265625" customWidth="1"/>
    <col min="3340" max="3340" width="41" customWidth="1"/>
    <col min="3585" max="3585" width="68.54296875" customWidth="1"/>
    <col min="3586" max="3586" width="11.453125" customWidth="1"/>
    <col min="3587" max="3587" width="13.1796875" customWidth="1"/>
    <col min="3588" max="3588" width="16.7265625" customWidth="1"/>
    <col min="3589" max="3589" width="14.7265625" customWidth="1"/>
    <col min="3590" max="3590" width="17.1796875" customWidth="1"/>
    <col min="3591" max="3591" width="10.7265625" customWidth="1"/>
    <col min="3592" max="3592" width="10.26953125" customWidth="1"/>
    <col min="3593" max="3593" width="14" customWidth="1"/>
    <col min="3594" max="3594" width="14.7265625" customWidth="1"/>
    <col min="3595" max="3595" width="16.7265625" customWidth="1"/>
    <col min="3596" max="3596" width="41" customWidth="1"/>
    <col min="3841" max="3841" width="68.54296875" customWidth="1"/>
    <col min="3842" max="3842" width="11.453125" customWidth="1"/>
    <col min="3843" max="3843" width="13.1796875" customWidth="1"/>
    <col min="3844" max="3844" width="16.7265625" customWidth="1"/>
    <col min="3845" max="3845" width="14.7265625" customWidth="1"/>
    <col min="3846" max="3846" width="17.1796875" customWidth="1"/>
    <col min="3847" max="3847" width="10.7265625" customWidth="1"/>
    <col min="3848" max="3848" width="10.26953125" customWidth="1"/>
    <col min="3849" max="3849" width="14" customWidth="1"/>
    <col min="3850" max="3850" width="14.7265625" customWidth="1"/>
    <col min="3851" max="3851" width="16.7265625" customWidth="1"/>
    <col min="3852" max="3852" width="41" customWidth="1"/>
    <col min="4097" max="4097" width="68.54296875" customWidth="1"/>
    <col min="4098" max="4098" width="11.453125" customWidth="1"/>
    <col min="4099" max="4099" width="13.1796875" customWidth="1"/>
    <col min="4100" max="4100" width="16.7265625" customWidth="1"/>
    <col min="4101" max="4101" width="14.7265625" customWidth="1"/>
    <col min="4102" max="4102" width="17.1796875" customWidth="1"/>
    <col min="4103" max="4103" width="10.7265625" customWidth="1"/>
    <col min="4104" max="4104" width="10.26953125" customWidth="1"/>
    <col min="4105" max="4105" width="14" customWidth="1"/>
    <col min="4106" max="4106" width="14.7265625" customWidth="1"/>
    <col min="4107" max="4107" width="16.7265625" customWidth="1"/>
    <col min="4108" max="4108" width="41" customWidth="1"/>
    <col min="4353" max="4353" width="68.54296875" customWidth="1"/>
    <col min="4354" max="4354" width="11.453125" customWidth="1"/>
    <col min="4355" max="4355" width="13.1796875" customWidth="1"/>
    <col min="4356" max="4356" width="16.7265625" customWidth="1"/>
    <col min="4357" max="4357" width="14.7265625" customWidth="1"/>
    <col min="4358" max="4358" width="17.1796875" customWidth="1"/>
    <col min="4359" max="4359" width="10.7265625" customWidth="1"/>
    <col min="4360" max="4360" width="10.26953125" customWidth="1"/>
    <col min="4361" max="4361" width="14" customWidth="1"/>
    <col min="4362" max="4362" width="14.7265625" customWidth="1"/>
    <col min="4363" max="4363" width="16.7265625" customWidth="1"/>
    <col min="4364" max="4364" width="41" customWidth="1"/>
    <col min="4609" max="4609" width="68.54296875" customWidth="1"/>
    <col min="4610" max="4610" width="11.453125" customWidth="1"/>
    <col min="4611" max="4611" width="13.1796875" customWidth="1"/>
    <col min="4612" max="4612" width="16.7265625" customWidth="1"/>
    <col min="4613" max="4613" width="14.7265625" customWidth="1"/>
    <col min="4614" max="4614" width="17.1796875" customWidth="1"/>
    <col min="4615" max="4615" width="10.7265625" customWidth="1"/>
    <col min="4616" max="4616" width="10.26953125" customWidth="1"/>
    <col min="4617" max="4617" width="14" customWidth="1"/>
    <col min="4618" max="4618" width="14.7265625" customWidth="1"/>
    <col min="4619" max="4619" width="16.7265625" customWidth="1"/>
    <col min="4620" max="4620" width="41" customWidth="1"/>
    <col min="4865" max="4865" width="68.54296875" customWidth="1"/>
    <col min="4866" max="4866" width="11.453125" customWidth="1"/>
    <col min="4867" max="4867" width="13.1796875" customWidth="1"/>
    <col min="4868" max="4868" width="16.7265625" customWidth="1"/>
    <col min="4869" max="4869" width="14.7265625" customWidth="1"/>
    <col min="4870" max="4870" width="17.1796875" customWidth="1"/>
    <col min="4871" max="4871" width="10.7265625" customWidth="1"/>
    <col min="4872" max="4872" width="10.26953125" customWidth="1"/>
    <col min="4873" max="4873" width="14" customWidth="1"/>
    <col min="4874" max="4874" width="14.7265625" customWidth="1"/>
    <col min="4875" max="4875" width="16.7265625" customWidth="1"/>
    <col min="4876" max="4876" width="41" customWidth="1"/>
    <col min="5121" max="5121" width="68.54296875" customWidth="1"/>
    <col min="5122" max="5122" width="11.453125" customWidth="1"/>
    <col min="5123" max="5123" width="13.1796875" customWidth="1"/>
    <col min="5124" max="5124" width="16.7265625" customWidth="1"/>
    <col min="5125" max="5125" width="14.7265625" customWidth="1"/>
    <col min="5126" max="5126" width="17.1796875" customWidth="1"/>
    <col min="5127" max="5127" width="10.7265625" customWidth="1"/>
    <col min="5128" max="5128" width="10.26953125" customWidth="1"/>
    <col min="5129" max="5129" width="14" customWidth="1"/>
    <col min="5130" max="5130" width="14.7265625" customWidth="1"/>
    <col min="5131" max="5131" width="16.7265625" customWidth="1"/>
    <col min="5132" max="5132" width="41" customWidth="1"/>
    <col min="5377" max="5377" width="68.54296875" customWidth="1"/>
    <col min="5378" max="5378" width="11.453125" customWidth="1"/>
    <col min="5379" max="5379" width="13.1796875" customWidth="1"/>
    <col min="5380" max="5380" width="16.7265625" customWidth="1"/>
    <col min="5381" max="5381" width="14.7265625" customWidth="1"/>
    <col min="5382" max="5382" width="17.1796875" customWidth="1"/>
    <col min="5383" max="5383" width="10.7265625" customWidth="1"/>
    <col min="5384" max="5384" width="10.26953125" customWidth="1"/>
    <col min="5385" max="5385" width="14" customWidth="1"/>
    <col min="5386" max="5386" width="14.7265625" customWidth="1"/>
    <col min="5387" max="5387" width="16.7265625" customWidth="1"/>
    <col min="5388" max="5388" width="41" customWidth="1"/>
    <col min="5633" max="5633" width="68.54296875" customWidth="1"/>
    <col min="5634" max="5634" width="11.453125" customWidth="1"/>
    <col min="5635" max="5635" width="13.1796875" customWidth="1"/>
    <col min="5636" max="5636" width="16.7265625" customWidth="1"/>
    <col min="5637" max="5637" width="14.7265625" customWidth="1"/>
    <col min="5638" max="5638" width="17.1796875" customWidth="1"/>
    <col min="5639" max="5639" width="10.7265625" customWidth="1"/>
    <col min="5640" max="5640" width="10.26953125" customWidth="1"/>
    <col min="5641" max="5641" width="14" customWidth="1"/>
    <col min="5642" max="5642" width="14.7265625" customWidth="1"/>
    <col min="5643" max="5643" width="16.7265625" customWidth="1"/>
    <col min="5644" max="5644" width="41" customWidth="1"/>
    <col min="5889" max="5889" width="68.54296875" customWidth="1"/>
    <col min="5890" max="5890" width="11.453125" customWidth="1"/>
    <col min="5891" max="5891" width="13.1796875" customWidth="1"/>
    <col min="5892" max="5892" width="16.7265625" customWidth="1"/>
    <col min="5893" max="5893" width="14.7265625" customWidth="1"/>
    <col min="5894" max="5894" width="17.1796875" customWidth="1"/>
    <col min="5895" max="5895" width="10.7265625" customWidth="1"/>
    <col min="5896" max="5896" width="10.26953125" customWidth="1"/>
    <col min="5897" max="5897" width="14" customWidth="1"/>
    <col min="5898" max="5898" width="14.7265625" customWidth="1"/>
    <col min="5899" max="5899" width="16.7265625" customWidth="1"/>
    <col min="5900" max="5900" width="41" customWidth="1"/>
    <col min="6145" max="6145" width="68.54296875" customWidth="1"/>
    <col min="6146" max="6146" width="11.453125" customWidth="1"/>
    <col min="6147" max="6147" width="13.1796875" customWidth="1"/>
    <col min="6148" max="6148" width="16.7265625" customWidth="1"/>
    <col min="6149" max="6149" width="14.7265625" customWidth="1"/>
    <col min="6150" max="6150" width="17.1796875" customWidth="1"/>
    <col min="6151" max="6151" width="10.7265625" customWidth="1"/>
    <col min="6152" max="6152" width="10.26953125" customWidth="1"/>
    <col min="6153" max="6153" width="14" customWidth="1"/>
    <col min="6154" max="6154" width="14.7265625" customWidth="1"/>
    <col min="6155" max="6155" width="16.7265625" customWidth="1"/>
    <col min="6156" max="6156" width="41" customWidth="1"/>
    <col min="6401" max="6401" width="68.54296875" customWidth="1"/>
    <col min="6402" max="6402" width="11.453125" customWidth="1"/>
    <col min="6403" max="6403" width="13.1796875" customWidth="1"/>
    <col min="6404" max="6404" width="16.7265625" customWidth="1"/>
    <col min="6405" max="6405" width="14.7265625" customWidth="1"/>
    <col min="6406" max="6406" width="17.1796875" customWidth="1"/>
    <col min="6407" max="6407" width="10.7265625" customWidth="1"/>
    <col min="6408" max="6408" width="10.26953125" customWidth="1"/>
    <col min="6409" max="6409" width="14" customWidth="1"/>
    <col min="6410" max="6410" width="14.7265625" customWidth="1"/>
    <col min="6411" max="6411" width="16.7265625" customWidth="1"/>
    <col min="6412" max="6412" width="41" customWidth="1"/>
    <col min="6657" max="6657" width="68.54296875" customWidth="1"/>
    <col min="6658" max="6658" width="11.453125" customWidth="1"/>
    <col min="6659" max="6659" width="13.1796875" customWidth="1"/>
    <col min="6660" max="6660" width="16.7265625" customWidth="1"/>
    <col min="6661" max="6661" width="14.7265625" customWidth="1"/>
    <col min="6662" max="6662" width="17.1796875" customWidth="1"/>
    <col min="6663" max="6663" width="10.7265625" customWidth="1"/>
    <col min="6664" max="6664" width="10.26953125" customWidth="1"/>
    <col min="6665" max="6665" width="14" customWidth="1"/>
    <col min="6666" max="6666" width="14.7265625" customWidth="1"/>
    <col min="6667" max="6667" width="16.7265625" customWidth="1"/>
    <col min="6668" max="6668" width="41" customWidth="1"/>
    <col min="6913" max="6913" width="68.54296875" customWidth="1"/>
    <col min="6914" max="6914" width="11.453125" customWidth="1"/>
    <col min="6915" max="6915" width="13.1796875" customWidth="1"/>
    <col min="6916" max="6916" width="16.7265625" customWidth="1"/>
    <col min="6917" max="6917" width="14.7265625" customWidth="1"/>
    <col min="6918" max="6918" width="17.1796875" customWidth="1"/>
    <col min="6919" max="6919" width="10.7265625" customWidth="1"/>
    <col min="6920" max="6920" width="10.26953125" customWidth="1"/>
    <col min="6921" max="6921" width="14" customWidth="1"/>
    <col min="6922" max="6922" width="14.7265625" customWidth="1"/>
    <col min="6923" max="6923" width="16.7265625" customWidth="1"/>
    <col min="6924" max="6924" width="41" customWidth="1"/>
    <col min="7169" max="7169" width="68.54296875" customWidth="1"/>
    <col min="7170" max="7170" width="11.453125" customWidth="1"/>
    <col min="7171" max="7171" width="13.1796875" customWidth="1"/>
    <col min="7172" max="7172" width="16.7265625" customWidth="1"/>
    <col min="7173" max="7173" width="14.7265625" customWidth="1"/>
    <col min="7174" max="7174" width="17.1796875" customWidth="1"/>
    <col min="7175" max="7175" width="10.7265625" customWidth="1"/>
    <col min="7176" max="7176" width="10.26953125" customWidth="1"/>
    <col min="7177" max="7177" width="14" customWidth="1"/>
    <col min="7178" max="7178" width="14.7265625" customWidth="1"/>
    <col min="7179" max="7179" width="16.7265625" customWidth="1"/>
    <col min="7180" max="7180" width="41" customWidth="1"/>
    <col min="7425" max="7425" width="68.54296875" customWidth="1"/>
    <col min="7426" max="7426" width="11.453125" customWidth="1"/>
    <col min="7427" max="7427" width="13.1796875" customWidth="1"/>
    <col min="7428" max="7428" width="16.7265625" customWidth="1"/>
    <col min="7429" max="7429" width="14.7265625" customWidth="1"/>
    <col min="7430" max="7430" width="17.1796875" customWidth="1"/>
    <col min="7431" max="7431" width="10.7265625" customWidth="1"/>
    <col min="7432" max="7432" width="10.26953125" customWidth="1"/>
    <col min="7433" max="7433" width="14" customWidth="1"/>
    <col min="7434" max="7434" width="14.7265625" customWidth="1"/>
    <col min="7435" max="7435" width="16.7265625" customWidth="1"/>
    <col min="7436" max="7436" width="41" customWidth="1"/>
    <col min="7681" max="7681" width="68.54296875" customWidth="1"/>
    <col min="7682" max="7682" width="11.453125" customWidth="1"/>
    <col min="7683" max="7683" width="13.1796875" customWidth="1"/>
    <col min="7684" max="7684" width="16.7265625" customWidth="1"/>
    <col min="7685" max="7685" width="14.7265625" customWidth="1"/>
    <col min="7686" max="7686" width="17.1796875" customWidth="1"/>
    <col min="7687" max="7687" width="10.7265625" customWidth="1"/>
    <col min="7688" max="7688" width="10.26953125" customWidth="1"/>
    <col min="7689" max="7689" width="14" customWidth="1"/>
    <col min="7690" max="7690" width="14.7265625" customWidth="1"/>
    <col min="7691" max="7691" width="16.7265625" customWidth="1"/>
    <col min="7692" max="7692" width="41" customWidth="1"/>
    <col min="7937" max="7937" width="68.54296875" customWidth="1"/>
    <col min="7938" max="7938" width="11.453125" customWidth="1"/>
    <col min="7939" max="7939" width="13.1796875" customWidth="1"/>
    <col min="7940" max="7940" width="16.7265625" customWidth="1"/>
    <col min="7941" max="7941" width="14.7265625" customWidth="1"/>
    <col min="7942" max="7942" width="17.1796875" customWidth="1"/>
    <col min="7943" max="7943" width="10.7265625" customWidth="1"/>
    <col min="7944" max="7944" width="10.26953125" customWidth="1"/>
    <col min="7945" max="7945" width="14" customWidth="1"/>
    <col min="7946" max="7946" width="14.7265625" customWidth="1"/>
    <col min="7947" max="7947" width="16.7265625" customWidth="1"/>
    <col min="7948" max="7948" width="41" customWidth="1"/>
    <col min="8193" max="8193" width="68.54296875" customWidth="1"/>
    <col min="8194" max="8194" width="11.453125" customWidth="1"/>
    <col min="8195" max="8195" width="13.1796875" customWidth="1"/>
    <col min="8196" max="8196" width="16.7265625" customWidth="1"/>
    <col min="8197" max="8197" width="14.7265625" customWidth="1"/>
    <col min="8198" max="8198" width="17.1796875" customWidth="1"/>
    <col min="8199" max="8199" width="10.7265625" customWidth="1"/>
    <col min="8200" max="8200" width="10.26953125" customWidth="1"/>
    <col min="8201" max="8201" width="14" customWidth="1"/>
    <col min="8202" max="8202" width="14.7265625" customWidth="1"/>
    <col min="8203" max="8203" width="16.7265625" customWidth="1"/>
    <col min="8204" max="8204" width="41" customWidth="1"/>
    <col min="8449" max="8449" width="68.54296875" customWidth="1"/>
    <col min="8450" max="8450" width="11.453125" customWidth="1"/>
    <col min="8451" max="8451" width="13.1796875" customWidth="1"/>
    <col min="8452" max="8452" width="16.7265625" customWidth="1"/>
    <col min="8453" max="8453" width="14.7265625" customWidth="1"/>
    <col min="8454" max="8454" width="17.1796875" customWidth="1"/>
    <col min="8455" max="8455" width="10.7265625" customWidth="1"/>
    <col min="8456" max="8456" width="10.26953125" customWidth="1"/>
    <col min="8457" max="8457" width="14" customWidth="1"/>
    <col min="8458" max="8458" width="14.7265625" customWidth="1"/>
    <col min="8459" max="8459" width="16.7265625" customWidth="1"/>
    <col min="8460" max="8460" width="41" customWidth="1"/>
    <col min="8705" max="8705" width="68.54296875" customWidth="1"/>
    <col min="8706" max="8706" width="11.453125" customWidth="1"/>
    <col min="8707" max="8707" width="13.1796875" customWidth="1"/>
    <col min="8708" max="8708" width="16.7265625" customWidth="1"/>
    <col min="8709" max="8709" width="14.7265625" customWidth="1"/>
    <col min="8710" max="8710" width="17.1796875" customWidth="1"/>
    <col min="8711" max="8711" width="10.7265625" customWidth="1"/>
    <col min="8712" max="8712" width="10.26953125" customWidth="1"/>
    <col min="8713" max="8713" width="14" customWidth="1"/>
    <col min="8714" max="8714" width="14.7265625" customWidth="1"/>
    <col min="8715" max="8715" width="16.7265625" customWidth="1"/>
    <col min="8716" max="8716" width="41" customWidth="1"/>
    <col min="8961" max="8961" width="68.54296875" customWidth="1"/>
    <col min="8962" max="8962" width="11.453125" customWidth="1"/>
    <col min="8963" max="8963" width="13.1796875" customWidth="1"/>
    <col min="8964" max="8964" width="16.7265625" customWidth="1"/>
    <col min="8965" max="8965" width="14.7265625" customWidth="1"/>
    <col min="8966" max="8966" width="17.1796875" customWidth="1"/>
    <col min="8967" max="8967" width="10.7265625" customWidth="1"/>
    <col min="8968" max="8968" width="10.26953125" customWidth="1"/>
    <col min="8969" max="8969" width="14" customWidth="1"/>
    <col min="8970" max="8970" width="14.7265625" customWidth="1"/>
    <col min="8971" max="8971" width="16.7265625" customWidth="1"/>
    <col min="8972" max="8972" width="41" customWidth="1"/>
    <col min="9217" max="9217" width="68.54296875" customWidth="1"/>
    <col min="9218" max="9218" width="11.453125" customWidth="1"/>
    <col min="9219" max="9219" width="13.1796875" customWidth="1"/>
    <col min="9220" max="9220" width="16.7265625" customWidth="1"/>
    <col min="9221" max="9221" width="14.7265625" customWidth="1"/>
    <col min="9222" max="9222" width="17.1796875" customWidth="1"/>
    <col min="9223" max="9223" width="10.7265625" customWidth="1"/>
    <col min="9224" max="9224" width="10.26953125" customWidth="1"/>
    <col min="9225" max="9225" width="14" customWidth="1"/>
    <col min="9226" max="9226" width="14.7265625" customWidth="1"/>
    <col min="9227" max="9227" width="16.7265625" customWidth="1"/>
    <col min="9228" max="9228" width="41" customWidth="1"/>
    <col min="9473" max="9473" width="68.54296875" customWidth="1"/>
    <col min="9474" max="9474" width="11.453125" customWidth="1"/>
    <col min="9475" max="9475" width="13.1796875" customWidth="1"/>
    <col min="9476" max="9476" width="16.7265625" customWidth="1"/>
    <col min="9477" max="9477" width="14.7265625" customWidth="1"/>
    <col min="9478" max="9478" width="17.1796875" customWidth="1"/>
    <col min="9479" max="9479" width="10.7265625" customWidth="1"/>
    <col min="9480" max="9480" width="10.26953125" customWidth="1"/>
    <col min="9481" max="9481" width="14" customWidth="1"/>
    <col min="9482" max="9482" width="14.7265625" customWidth="1"/>
    <col min="9483" max="9483" width="16.7265625" customWidth="1"/>
    <col min="9484" max="9484" width="41" customWidth="1"/>
    <col min="9729" max="9729" width="68.54296875" customWidth="1"/>
    <col min="9730" max="9730" width="11.453125" customWidth="1"/>
    <col min="9731" max="9731" width="13.1796875" customWidth="1"/>
    <col min="9732" max="9732" width="16.7265625" customWidth="1"/>
    <col min="9733" max="9733" width="14.7265625" customWidth="1"/>
    <col min="9734" max="9734" width="17.1796875" customWidth="1"/>
    <col min="9735" max="9735" width="10.7265625" customWidth="1"/>
    <col min="9736" max="9736" width="10.26953125" customWidth="1"/>
    <col min="9737" max="9737" width="14" customWidth="1"/>
    <col min="9738" max="9738" width="14.7265625" customWidth="1"/>
    <col min="9739" max="9739" width="16.7265625" customWidth="1"/>
    <col min="9740" max="9740" width="41" customWidth="1"/>
    <col min="9985" max="9985" width="68.54296875" customWidth="1"/>
    <col min="9986" max="9986" width="11.453125" customWidth="1"/>
    <col min="9987" max="9987" width="13.1796875" customWidth="1"/>
    <col min="9988" max="9988" width="16.7265625" customWidth="1"/>
    <col min="9989" max="9989" width="14.7265625" customWidth="1"/>
    <col min="9990" max="9990" width="17.1796875" customWidth="1"/>
    <col min="9991" max="9991" width="10.7265625" customWidth="1"/>
    <col min="9992" max="9992" width="10.26953125" customWidth="1"/>
    <col min="9993" max="9993" width="14" customWidth="1"/>
    <col min="9994" max="9994" width="14.7265625" customWidth="1"/>
    <col min="9995" max="9995" width="16.7265625" customWidth="1"/>
    <col min="9996" max="9996" width="41" customWidth="1"/>
    <col min="10241" max="10241" width="68.54296875" customWidth="1"/>
    <col min="10242" max="10242" width="11.453125" customWidth="1"/>
    <col min="10243" max="10243" width="13.1796875" customWidth="1"/>
    <col min="10244" max="10244" width="16.7265625" customWidth="1"/>
    <col min="10245" max="10245" width="14.7265625" customWidth="1"/>
    <col min="10246" max="10246" width="17.1796875" customWidth="1"/>
    <col min="10247" max="10247" width="10.7265625" customWidth="1"/>
    <col min="10248" max="10248" width="10.26953125" customWidth="1"/>
    <col min="10249" max="10249" width="14" customWidth="1"/>
    <col min="10250" max="10250" width="14.7265625" customWidth="1"/>
    <col min="10251" max="10251" width="16.7265625" customWidth="1"/>
    <col min="10252" max="10252" width="41" customWidth="1"/>
    <col min="10497" max="10497" width="68.54296875" customWidth="1"/>
    <col min="10498" max="10498" width="11.453125" customWidth="1"/>
    <col min="10499" max="10499" width="13.1796875" customWidth="1"/>
    <col min="10500" max="10500" width="16.7265625" customWidth="1"/>
    <col min="10501" max="10501" width="14.7265625" customWidth="1"/>
    <col min="10502" max="10502" width="17.1796875" customWidth="1"/>
    <col min="10503" max="10503" width="10.7265625" customWidth="1"/>
    <col min="10504" max="10504" width="10.26953125" customWidth="1"/>
    <col min="10505" max="10505" width="14" customWidth="1"/>
    <col min="10506" max="10506" width="14.7265625" customWidth="1"/>
    <col min="10507" max="10507" width="16.7265625" customWidth="1"/>
    <col min="10508" max="10508" width="41" customWidth="1"/>
    <col min="10753" max="10753" width="68.54296875" customWidth="1"/>
    <col min="10754" max="10754" width="11.453125" customWidth="1"/>
    <col min="10755" max="10755" width="13.1796875" customWidth="1"/>
    <col min="10756" max="10756" width="16.7265625" customWidth="1"/>
    <col min="10757" max="10757" width="14.7265625" customWidth="1"/>
    <col min="10758" max="10758" width="17.1796875" customWidth="1"/>
    <col min="10759" max="10759" width="10.7265625" customWidth="1"/>
    <col min="10760" max="10760" width="10.26953125" customWidth="1"/>
    <col min="10761" max="10761" width="14" customWidth="1"/>
    <col min="10762" max="10762" width="14.7265625" customWidth="1"/>
    <col min="10763" max="10763" width="16.7265625" customWidth="1"/>
    <col min="10764" max="10764" width="41" customWidth="1"/>
    <col min="11009" max="11009" width="68.54296875" customWidth="1"/>
    <col min="11010" max="11010" width="11.453125" customWidth="1"/>
    <col min="11011" max="11011" width="13.1796875" customWidth="1"/>
    <col min="11012" max="11012" width="16.7265625" customWidth="1"/>
    <col min="11013" max="11013" width="14.7265625" customWidth="1"/>
    <col min="11014" max="11014" width="17.1796875" customWidth="1"/>
    <col min="11015" max="11015" width="10.7265625" customWidth="1"/>
    <col min="11016" max="11016" width="10.26953125" customWidth="1"/>
    <col min="11017" max="11017" width="14" customWidth="1"/>
    <col min="11018" max="11018" width="14.7265625" customWidth="1"/>
    <col min="11019" max="11019" width="16.7265625" customWidth="1"/>
    <col min="11020" max="11020" width="41" customWidth="1"/>
    <col min="11265" max="11265" width="68.54296875" customWidth="1"/>
    <col min="11266" max="11266" width="11.453125" customWidth="1"/>
    <col min="11267" max="11267" width="13.1796875" customWidth="1"/>
    <col min="11268" max="11268" width="16.7265625" customWidth="1"/>
    <col min="11269" max="11269" width="14.7265625" customWidth="1"/>
    <col min="11270" max="11270" width="17.1796875" customWidth="1"/>
    <col min="11271" max="11271" width="10.7265625" customWidth="1"/>
    <col min="11272" max="11272" width="10.26953125" customWidth="1"/>
    <col min="11273" max="11273" width="14" customWidth="1"/>
    <col min="11274" max="11274" width="14.7265625" customWidth="1"/>
    <col min="11275" max="11275" width="16.7265625" customWidth="1"/>
    <col min="11276" max="11276" width="41" customWidth="1"/>
    <col min="11521" max="11521" width="68.54296875" customWidth="1"/>
    <col min="11522" max="11522" width="11.453125" customWidth="1"/>
    <col min="11523" max="11523" width="13.1796875" customWidth="1"/>
    <col min="11524" max="11524" width="16.7265625" customWidth="1"/>
    <col min="11525" max="11525" width="14.7265625" customWidth="1"/>
    <col min="11526" max="11526" width="17.1796875" customWidth="1"/>
    <col min="11527" max="11527" width="10.7265625" customWidth="1"/>
    <col min="11528" max="11528" width="10.26953125" customWidth="1"/>
    <col min="11529" max="11529" width="14" customWidth="1"/>
    <col min="11530" max="11530" width="14.7265625" customWidth="1"/>
    <col min="11531" max="11531" width="16.7265625" customWidth="1"/>
    <col min="11532" max="11532" width="41" customWidth="1"/>
    <col min="11777" max="11777" width="68.54296875" customWidth="1"/>
    <col min="11778" max="11778" width="11.453125" customWidth="1"/>
    <col min="11779" max="11779" width="13.1796875" customWidth="1"/>
    <col min="11780" max="11780" width="16.7265625" customWidth="1"/>
    <col min="11781" max="11781" width="14.7265625" customWidth="1"/>
    <col min="11782" max="11782" width="17.1796875" customWidth="1"/>
    <col min="11783" max="11783" width="10.7265625" customWidth="1"/>
    <col min="11784" max="11784" width="10.26953125" customWidth="1"/>
    <col min="11785" max="11785" width="14" customWidth="1"/>
    <col min="11786" max="11786" width="14.7265625" customWidth="1"/>
    <col min="11787" max="11787" width="16.7265625" customWidth="1"/>
    <col min="11788" max="11788" width="41" customWidth="1"/>
    <col min="12033" max="12033" width="68.54296875" customWidth="1"/>
    <col min="12034" max="12034" width="11.453125" customWidth="1"/>
    <col min="12035" max="12035" width="13.1796875" customWidth="1"/>
    <col min="12036" max="12036" width="16.7265625" customWidth="1"/>
    <col min="12037" max="12037" width="14.7265625" customWidth="1"/>
    <col min="12038" max="12038" width="17.1796875" customWidth="1"/>
    <col min="12039" max="12039" width="10.7265625" customWidth="1"/>
    <col min="12040" max="12040" width="10.26953125" customWidth="1"/>
    <col min="12041" max="12041" width="14" customWidth="1"/>
    <col min="12042" max="12042" width="14.7265625" customWidth="1"/>
    <col min="12043" max="12043" width="16.7265625" customWidth="1"/>
    <col min="12044" max="12044" width="41" customWidth="1"/>
    <col min="12289" max="12289" width="68.54296875" customWidth="1"/>
    <col min="12290" max="12290" width="11.453125" customWidth="1"/>
    <col min="12291" max="12291" width="13.1796875" customWidth="1"/>
    <col min="12292" max="12292" width="16.7265625" customWidth="1"/>
    <col min="12293" max="12293" width="14.7265625" customWidth="1"/>
    <col min="12294" max="12294" width="17.1796875" customWidth="1"/>
    <col min="12295" max="12295" width="10.7265625" customWidth="1"/>
    <col min="12296" max="12296" width="10.26953125" customWidth="1"/>
    <col min="12297" max="12297" width="14" customWidth="1"/>
    <col min="12298" max="12298" width="14.7265625" customWidth="1"/>
    <col min="12299" max="12299" width="16.7265625" customWidth="1"/>
    <col min="12300" max="12300" width="41" customWidth="1"/>
    <col min="12545" max="12545" width="68.54296875" customWidth="1"/>
    <col min="12546" max="12546" width="11.453125" customWidth="1"/>
    <col min="12547" max="12547" width="13.1796875" customWidth="1"/>
    <col min="12548" max="12548" width="16.7265625" customWidth="1"/>
    <col min="12549" max="12549" width="14.7265625" customWidth="1"/>
    <col min="12550" max="12550" width="17.1796875" customWidth="1"/>
    <col min="12551" max="12551" width="10.7265625" customWidth="1"/>
    <col min="12552" max="12552" width="10.26953125" customWidth="1"/>
    <col min="12553" max="12553" width="14" customWidth="1"/>
    <col min="12554" max="12554" width="14.7265625" customWidth="1"/>
    <col min="12555" max="12555" width="16.7265625" customWidth="1"/>
    <col min="12556" max="12556" width="41" customWidth="1"/>
    <col min="12801" max="12801" width="68.54296875" customWidth="1"/>
    <col min="12802" max="12802" width="11.453125" customWidth="1"/>
    <col min="12803" max="12803" width="13.1796875" customWidth="1"/>
    <col min="12804" max="12804" width="16.7265625" customWidth="1"/>
    <col min="12805" max="12805" width="14.7265625" customWidth="1"/>
    <col min="12806" max="12806" width="17.1796875" customWidth="1"/>
    <col min="12807" max="12807" width="10.7265625" customWidth="1"/>
    <col min="12808" max="12808" width="10.26953125" customWidth="1"/>
    <col min="12809" max="12809" width="14" customWidth="1"/>
    <col min="12810" max="12810" width="14.7265625" customWidth="1"/>
    <col min="12811" max="12811" width="16.7265625" customWidth="1"/>
    <col min="12812" max="12812" width="41" customWidth="1"/>
    <col min="13057" max="13057" width="68.54296875" customWidth="1"/>
    <col min="13058" max="13058" width="11.453125" customWidth="1"/>
    <col min="13059" max="13059" width="13.1796875" customWidth="1"/>
    <col min="13060" max="13060" width="16.7265625" customWidth="1"/>
    <col min="13061" max="13061" width="14.7265625" customWidth="1"/>
    <col min="13062" max="13062" width="17.1796875" customWidth="1"/>
    <col min="13063" max="13063" width="10.7265625" customWidth="1"/>
    <col min="13064" max="13064" width="10.26953125" customWidth="1"/>
    <col min="13065" max="13065" width="14" customWidth="1"/>
    <col min="13066" max="13066" width="14.7265625" customWidth="1"/>
    <col min="13067" max="13067" width="16.7265625" customWidth="1"/>
    <col min="13068" max="13068" width="41" customWidth="1"/>
    <col min="13313" max="13313" width="68.54296875" customWidth="1"/>
    <col min="13314" max="13314" width="11.453125" customWidth="1"/>
    <col min="13315" max="13315" width="13.1796875" customWidth="1"/>
    <col min="13316" max="13316" width="16.7265625" customWidth="1"/>
    <col min="13317" max="13317" width="14.7265625" customWidth="1"/>
    <col min="13318" max="13318" width="17.1796875" customWidth="1"/>
    <col min="13319" max="13319" width="10.7265625" customWidth="1"/>
    <col min="13320" max="13320" width="10.26953125" customWidth="1"/>
    <col min="13321" max="13321" width="14" customWidth="1"/>
    <col min="13322" max="13322" width="14.7265625" customWidth="1"/>
    <col min="13323" max="13323" width="16.7265625" customWidth="1"/>
    <col min="13324" max="13324" width="41" customWidth="1"/>
    <col min="13569" max="13569" width="68.54296875" customWidth="1"/>
    <col min="13570" max="13570" width="11.453125" customWidth="1"/>
    <col min="13571" max="13571" width="13.1796875" customWidth="1"/>
    <col min="13572" max="13572" width="16.7265625" customWidth="1"/>
    <col min="13573" max="13573" width="14.7265625" customWidth="1"/>
    <col min="13574" max="13574" width="17.1796875" customWidth="1"/>
    <col min="13575" max="13575" width="10.7265625" customWidth="1"/>
    <col min="13576" max="13576" width="10.26953125" customWidth="1"/>
    <col min="13577" max="13577" width="14" customWidth="1"/>
    <col min="13578" max="13578" width="14.7265625" customWidth="1"/>
    <col min="13579" max="13579" width="16.7265625" customWidth="1"/>
    <col min="13580" max="13580" width="41" customWidth="1"/>
    <col min="13825" max="13825" width="68.54296875" customWidth="1"/>
    <col min="13826" max="13826" width="11.453125" customWidth="1"/>
    <col min="13827" max="13827" width="13.1796875" customWidth="1"/>
    <col min="13828" max="13828" width="16.7265625" customWidth="1"/>
    <col min="13829" max="13829" width="14.7265625" customWidth="1"/>
    <col min="13830" max="13830" width="17.1796875" customWidth="1"/>
    <col min="13831" max="13831" width="10.7265625" customWidth="1"/>
    <col min="13832" max="13832" width="10.26953125" customWidth="1"/>
    <col min="13833" max="13833" width="14" customWidth="1"/>
    <col min="13834" max="13834" width="14.7265625" customWidth="1"/>
    <col min="13835" max="13835" width="16.7265625" customWidth="1"/>
    <col min="13836" max="13836" width="41" customWidth="1"/>
    <col min="14081" max="14081" width="68.54296875" customWidth="1"/>
    <col min="14082" max="14082" width="11.453125" customWidth="1"/>
    <col min="14083" max="14083" width="13.1796875" customWidth="1"/>
    <col min="14084" max="14084" width="16.7265625" customWidth="1"/>
    <col min="14085" max="14085" width="14.7265625" customWidth="1"/>
    <col min="14086" max="14086" width="17.1796875" customWidth="1"/>
    <col min="14087" max="14087" width="10.7265625" customWidth="1"/>
    <col min="14088" max="14088" width="10.26953125" customWidth="1"/>
    <col min="14089" max="14089" width="14" customWidth="1"/>
    <col min="14090" max="14090" width="14.7265625" customWidth="1"/>
    <col min="14091" max="14091" width="16.7265625" customWidth="1"/>
    <col min="14092" max="14092" width="41" customWidth="1"/>
    <col min="14337" max="14337" width="68.54296875" customWidth="1"/>
    <col min="14338" max="14338" width="11.453125" customWidth="1"/>
    <col min="14339" max="14339" width="13.1796875" customWidth="1"/>
    <col min="14340" max="14340" width="16.7265625" customWidth="1"/>
    <col min="14341" max="14341" width="14.7265625" customWidth="1"/>
    <col min="14342" max="14342" width="17.1796875" customWidth="1"/>
    <col min="14343" max="14343" width="10.7265625" customWidth="1"/>
    <col min="14344" max="14344" width="10.26953125" customWidth="1"/>
    <col min="14345" max="14345" width="14" customWidth="1"/>
    <col min="14346" max="14346" width="14.7265625" customWidth="1"/>
    <col min="14347" max="14347" width="16.7265625" customWidth="1"/>
    <col min="14348" max="14348" width="41" customWidth="1"/>
    <col min="14593" max="14593" width="68.54296875" customWidth="1"/>
    <col min="14594" max="14594" width="11.453125" customWidth="1"/>
    <col min="14595" max="14595" width="13.1796875" customWidth="1"/>
    <col min="14596" max="14596" width="16.7265625" customWidth="1"/>
    <col min="14597" max="14597" width="14.7265625" customWidth="1"/>
    <col min="14598" max="14598" width="17.1796875" customWidth="1"/>
    <col min="14599" max="14599" width="10.7265625" customWidth="1"/>
    <col min="14600" max="14600" width="10.26953125" customWidth="1"/>
    <col min="14601" max="14601" width="14" customWidth="1"/>
    <col min="14602" max="14602" width="14.7265625" customWidth="1"/>
    <col min="14603" max="14603" width="16.7265625" customWidth="1"/>
    <col min="14604" max="14604" width="41" customWidth="1"/>
    <col min="14849" max="14849" width="68.54296875" customWidth="1"/>
    <col min="14850" max="14850" width="11.453125" customWidth="1"/>
    <col min="14851" max="14851" width="13.1796875" customWidth="1"/>
    <col min="14852" max="14852" width="16.7265625" customWidth="1"/>
    <col min="14853" max="14853" width="14.7265625" customWidth="1"/>
    <col min="14854" max="14854" width="17.1796875" customWidth="1"/>
    <col min="14855" max="14855" width="10.7265625" customWidth="1"/>
    <col min="14856" max="14856" width="10.26953125" customWidth="1"/>
    <col min="14857" max="14857" width="14" customWidth="1"/>
    <col min="14858" max="14858" width="14.7265625" customWidth="1"/>
    <col min="14859" max="14859" width="16.7265625" customWidth="1"/>
    <col min="14860" max="14860" width="41" customWidth="1"/>
    <col min="15105" max="15105" width="68.54296875" customWidth="1"/>
    <col min="15106" max="15106" width="11.453125" customWidth="1"/>
    <col min="15107" max="15107" width="13.1796875" customWidth="1"/>
    <col min="15108" max="15108" width="16.7265625" customWidth="1"/>
    <col min="15109" max="15109" width="14.7265625" customWidth="1"/>
    <col min="15110" max="15110" width="17.1796875" customWidth="1"/>
    <col min="15111" max="15111" width="10.7265625" customWidth="1"/>
    <col min="15112" max="15112" width="10.26953125" customWidth="1"/>
    <col min="15113" max="15113" width="14" customWidth="1"/>
    <col min="15114" max="15114" width="14.7265625" customWidth="1"/>
    <col min="15115" max="15115" width="16.7265625" customWidth="1"/>
    <col min="15116" max="15116" width="41" customWidth="1"/>
    <col min="15361" max="15361" width="68.54296875" customWidth="1"/>
    <col min="15362" max="15362" width="11.453125" customWidth="1"/>
    <col min="15363" max="15363" width="13.1796875" customWidth="1"/>
    <col min="15364" max="15364" width="16.7265625" customWidth="1"/>
    <col min="15365" max="15365" width="14.7265625" customWidth="1"/>
    <col min="15366" max="15366" width="17.1796875" customWidth="1"/>
    <col min="15367" max="15367" width="10.7265625" customWidth="1"/>
    <col min="15368" max="15368" width="10.26953125" customWidth="1"/>
    <col min="15369" max="15369" width="14" customWidth="1"/>
    <col min="15370" max="15370" width="14.7265625" customWidth="1"/>
    <col min="15371" max="15371" width="16.7265625" customWidth="1"/>
    <col min="15372" max="15372" width="41" customWidth="1"/>
    <col min="15617" max="15617" width="68.54296875" customWidth="1"/>
    <col min="15618" max="15618" width="11.453125" customWidth="1"/>
    <col min="15619" max="15619" width="13.1796875" customWidth="1"/>
    <col min="15620" max="15620" width="16.7265625" customWidth="1"/>
    <col min="15621" max="15621" width="14.7265625" customWidth="1"/>
    <col min="15622" max="15622" width="17.1796875" customWidth="1"/>
    <col min="15623" max="15623" width="10.7265625" customWidth="1"/>
    <col min="15624" max="15624" width="10.26953125" customWidth="1"/>
    <col min="15625" max="15625" width="14" customWidth="1"/>
    <col min="15626" max="15626" width="14.7265625" customWidth="1"/>
    <col min="15627" max="15627" width="16.7265625" customWidth="1"/>
    <col min="15628" max="15628" width="41" customWidth="1"/>
    <col min="15873" max="15873" width="68.54296875" customWidth="1"/>
    <col min="15874" max="15874" width="11.453125" customWidth="1"/>
    <col min="15875" max="15875" width="13.1796875" customWidth="1"/>
    <col min="15876" max="15876" width="16.7265625" customWidth="1"/>
    <col min="15877" max="15877" width="14.7265625" customWidth="1"/>
    <col min="15878" max="15878" width="17.1796875" customWidth="1"/>
    <col min="15879" max="15879" width="10.7265625" customWidth="1"/>
    <col min="15880" max="15880" width="10.26953125" customWidth="1"/>
    <col min="15881" max="15881" width="14" customWidth="1"/>
    <col min="15882" max="15882" width="14.7265625" customWidth="1"/>
    <col min="15883" max="15883" width="16.7265625" customWidth="1"/>
    <col min="15884" max="15884" width="41" customWidth="1"/>
    <col min="16129" max="16129" width="68.54296875" customWidth="1"/>
    <col min="16130" max="16130" width="11.453125" customWidth="1"/>
    <col min="16131" max="16131" width="13.1796875" customWidth="1"/>
    <col min="16132" max="16132" width="16.7265625" customWidth="1"/>
    <col min="16133" max="16133" width="14.7265625" customWidth="1"/>
    <col min="16134" max="16134" width="17.1796875" customWidth="1"/>
    <col min="16135" max="16135" width="10.7265625" customWidth="1"/>
    <col min="16136" max="16136" width="10.26953125" customWidth="1"/>
    <col min="16137" max="16137" width="14" customWidth="1"/>
    <col min="16138" max="16138" width="14.7265625" customWidth="1"/>
    <col min="16139" max="16139" width="16.7265625" customWidth="1"/>
    <col min="16140" max="16140" width="41" customWidth="1"/>
  </cols>
  <sheetData>
    <row r="1" spans="1:12" ht="18" x14ac:dyDescent="0.3">
      <c r="A1" s="788" t="s">
        <v>1581</v>
      </c>
      <c r="B1" s="788" t="s">
        <v>1538</v>
      </c>
      <c r="C1" s="788" t="s">
        <v>1539</v>
      </c>
      <c r="D1" s="788" t="s">
        <v>1582</v>
      </c>
      <c r="E1" s="788" t="s">
        <v>1541</v>
      </c>
      <c r="F1" s="788" t="s">
        <v>1542</v>
      </c>
      <c r="G1" s="818"/>
      <c r="H1" s="818"/>
      <c r="I1" s="790"/>
    </row>
    <row r="2" spans="1:12" ht="18.5" thickBot="1" x14ac:dyDescent="0.45">
      <c r="A2" s="791">
        <f>100*(E2*1.402/F2)^0.5</f>
        <v>34423.016424370682</v>
      </c>
      <c r="B2" s="792">
        <v>20</v>
      </c>
      <c r="C2" s="792">
        <v>50</v>
      </c>
      <c r="D2" s="793">
        <v>0</v>
      </c>
      <c r="E2" s="791">
        <f>(((D2/1000)-44.3308)/-4.94654)^(1/0.190263)</f>
        <v>101326.69658869405</v>
      </c>
      <c r="F2" s="794">
        <f>((E2*28.965-(28.965-18.02)*((6.1078*((0.99999683+B2*((-0.90826951*10^-2)+B2*((0.78736169*10^-4)+B2*((-0.61117958*10^-6)+B2*((0.43884187*10^-8)+B2*((-0.29883885*10^-10)+B2*((0.21874425*10^-12)+B2*((-0.17892321*10^-14)+B2*((0.11112018*10^-16)+B2*((-0.30994571*10^-19))))))))))))^-8)*100)*C2/100)/(8.31451*(B2+273.15)))/1000</f>
        <v>1.1988754021605201</v>
      </c>
      <c r="G2" s="818"/>
      <c r="H2" s="818"/>
      <c r="I2" s="790"/>
      <c r="L2" s="508" t="s">
        <v>1594</v>
      </c>
    </row>
    <row r="3" spans="1:12" ht="17.5" x14ac:dyDescent="0.25">
      <c r="A3" s="795"/>
      <c r="B3" s="789"/>
      <c r="C3" s="789"/>
      <c r="D3" s="789"/>
      <c r="E3" s="789"/>
      <c r="F3" s="789"/>
      <c r="G3" s="789"/>
      <c r="H3" s="789"/>
      <c r="I3" s="790"/>
    </row>
    <row r="4" spans="1:12" ht="15.5" x14ac:dyDescent="0.35">
      <c r="A4" s="789"/>
      <c r="B4" s="789"/>
      <c r="C4" s="796" t="s">
        <v>1543</v>
      </c>
      <c r="D4" s="797"/>
      <c r="E4" s="796" t="s">
        <v>1544</v>
      </c>
      <c r="F4" s="797"/>
      <c r="G4" s="796" t="s">
        <v>1545</v>
      </c>
      <c r="H4" s="797"/>
      <c r="I4" s="790"/>
    </row>
    <row r="5" spans="1:12" x14ac:dyDescent="0.25">
      <c r="A5" s="789"/>
      <c r="B5" s="789"/>
      <c r="C5" s="798"/>
      <c r="D5" s="789"/>
      <c r="E5" s="798"/>
      <c r="F5" s="789"/>
      <c r="G5" s="798"/>
      <c r="H5" s="789"/>
      <c r="I5" s="790"/>
    </row>
    <row r="6" spans="1:12" ht="13" x14ac:dyDescent="0.3">
      <c r="A6" s="799" t="s">
        <v>1546</v>
      </c>
      <c r="B6" s="799" t="s">
        <v>779</v>
      </c>
      <c r="C6" s="800">
        <v>40</v>
      </c>
      <c r="D6" s="801" t="s">
        <v>1583</v>
      </c>
      <c r="E6" s="800">
        <v>40</v>
      </c>
      <c r="F6" s="801" t="s">
        <v>1583</v>
      </c>
      <c r="G6" s="800">
        <v>40</v>
      </c>
      <c r="H6" s="801" t="s">
        <v>1583</v>
      </c>
      <c r="I6" s="790"/>
    </row>
    <row r="7" spans="1:12" ht="13" x14ac:dyDescent="0.3">
      <c r="A7" s="799" t="s">
        <v>1548</v>
      </c>
      <c r="B7" s="799" t="s">
        <v>1549</v>
      </c>
      <c r="C7" s="800">
        <v>80</v>
      </c>
      <c r="D7" s="801" t="s">
        <v>1583</v>
      </c>
      <c r="E7" s="800">
        <v>80</v>
      </c>
      <c r="F7" s="801" t="s">
        <v>1583</v>
      </c>
      <c r="G7" s="800">
        <v>80</v>
      </c>
      <c r="H7" s="801" t="s">
        <v>1583</v>
      </c>
      <c r="I7" s="790"/>
    </row>
    <row r="8" spans="1:12" ht="13" x14ac:dyDescent="0.3">
      <c r="A8" s="799" t="s">
        <v>1550</v>
      </c>
      <c r="B8" s="799" t="s">
        <v>1551</v>
      </c>
      <c r="C8" s="800">
        <v>80</v>
      </c>
      <c r="D8" s="801" t="s">
        <v>1583</v>
      </c>
      <c r="E8" s="800">
        <v>30</v>
      </c>
      <c r="F8" s="801" t="s">
        <v>1583</v>
      </c>
      <c r="G8" s="800">
        <v>40</v>
      </c>
      <c r="H8" s="801" t="s">
        <v>1583</v>
      </c>
      <c r="I8" s="790"/>
    </row>
    <row r="9" spans="1:12" ht="13" x14ac:dyDescent="0.3">
      <c r="A9" s="799" t="s">
        <v>666</v>
      </c>
      <c r="B9" s="799"/>
      <c r="C9" s="800">
        <v>100</v>
      </c>
      <c r="D9" s="801" t="s">
        <v>1552</v>
      </c>
      <c r="E9" s="800">
        <v>100</v>
      </c>
      <c r="F9" s="801" t="s">
        <v>1552</v>
      </c>
      <c r="G9" s="800">
        <v>100</v>
      </c>
      <c r="H9" s="801" t="s">
        <v>1552</v>
      </c>
      <c r="I9" s="790"/>
    </row>
    <row r="10" spans="1:12" ht="13" x14ac:dyDescent="0.3">
      <c r="A10" s="802" t="s">
        <v>1553</v>
      </c>
      <c r="B10" s="802" t="s">
        <v>1554</v>
      </c>
      <c r="C10" s="803">
        <f>C16*C6/(C16+1)</f>
        <v>20</v>
      </c>
      <c r="D10" s="803" t="s">
        <v>1583</v>
      </c>
      <c r="E10" s="803">
        <f>E16*E6/(E16+1)</f>
        <v>29.09090909090909</v>
      </c>
      <c r="F10" s="803" t="s">
        <v>1583</v>
      </c>
      <c r="G10" s="803">
        <f>G16*G6/(G16+1)</f>
        <v>26.666666666666668</v>
      </c>
      <c r="H10" s="803" t="s">
        <v>1583</v>
      </c>
      <c r="I10" s="790"/>
    </row>
    <row r="11" spans="1:12" ht="13" x14ac:dyDescent="0.3">
      <c r="A11" s="802" t="s">
        <v>1555</v>
      </c>
      <c r="B11" s="802" t="s">
        <v>1556</v>
      </c>
      <c r="C11" s="803">
        <f>(C7^2+C10^2)^0.5</f>
        <v>82.462112512353215</v>
      </c>
      <c r="D11" s="803" t="s">
        <v>1583</v>
      </c>
      <c r="E11" s="803">
        <f>(E7^2+E10^2)^0.5</f>
        <v>85.125090259779085</v>
      </c>
      <c r="F11" s="803" t="s">
        <v>1583</v>
      </c>
      <c r="G11" s="803">
        <f>(G7^2+G10^2)^0.5</f>
        <v>84.32740427115678</v>
      </c>
      <c r="H11" s="803" t="s">
        <v>1583</v>
      </c>
      <c r="I11" s="790"/>
    </row>
    <row r="12" spans="1:12" ht="13" x14ac:dyDescent="0.3">
      <c r="A12" s="802" t="s">
        <v>1557</v>
      </c>
      <c r="B12" s="802" t="s">
        <v>778</v>
      </c>
      <c r="C12" s="803">
        <f>C6-C10</f>
        <v>20</v>
      </c>
      <c r="D12" s="803" t="s">
        <v>1583</v>
      </c>
      <c r="E12" s="803">
        <f>E6-E10</f>
        <v>10.90909090909091</v>
      </c>
      <c r="F12" s="803" t="s">
        <v>1583</v>
      </c>
      <c r="G12" s="803">
        <f>G6-G10</f>
        <v>13.333333333333332</v>
      </c>
      <c r="H12" s="803" t="s">
        <v>1583</v>
      </c>
      <c r="I12" s="790"/>
    </row>
    <row r="13" spans="1:12" ht="13" x14ac:dyDescent="0.3">
      <c r="A13" s="802" t="s">
        <v>1558</v>
      </c>
      <c r="B13" s="802" t="s">
        <v>1559</v>
      </c>
      <c r="C13" s="803">
        <f>(C8^2+C12^2)^0.5</f>
        <v>82.462112512353215</v>
      </c>
      <c r="D13" s="803" t="s">
        <v>1583</v>
      </c>
      <c r="E13" s="803">
        <f>(E8^2+E12^2)^0.5</f>
        <v>31.921908847417161</v>
      </c>
      <c r="F13" s="803" t="s">
        <v>1583</v>
      </c>
      <c r="G13" s="803">
        <f>(G8^2+G12^2)^0.5</f>
        <v>42.16370213557839</v>
      </c>
      <c r="H13" s="803" t="s">
        <v>1583</v>
      </c>
      <c r="I13" s="790"/>
    </row>
    <row r="14" spans="1:12" ht="13" x14ac:dyDescent="0.3">
      <c r="A14" s="802" t="s">
        <v>1560</v>
      </c>
      <c r="B14" s="802" t="s">
        <v>1561</v>
      </c>
      <c r="C14" s="803">
        <f>(C6^2+(C7-C8)^2)^0.5</f>
        <v>40</v>
      </c>
      <c r="D14" s="803" t="s">
        <v>1583</v>
      </c>
      <c r="E14" s="803">
        <f>(E6^2+(E7-E8)^2)^0.5</f>
        <v>64.031242374328485</v>
      </c>
      <c r="F14" s="803" t="s">
        <v>1583</v>
      </c>
      <c r="G14" s="803">
        <f>(G6^2+(G7-G8)^2)^0.5</f>
        <v>56.568542494923804</v>
      </c>
      <c r="H14" s="803" t="s">
        <v>1583</v>
      </c>
      <c r="I14" s="790"/>
    </row>
    <row r="15" spans="1:12" ht="13" x14ac:dyDescent="0.3">
      <c r="A15" s="802" t="s">
        <v>1562</v>
      </c>
      <c r="B15" s="802"/>
      <c r="C15" s="803">
        <f>(C13+C11)-C14</f>
        <v>124.92422502470643</v>
      </c>
      <c r="D15" s="803" t="s">
        <v>1583</v>
      </c>
      <c r="E15" s="803">
        <f>(E13+E11)-E14</f>
        <v>53.015756732867757</v>
      </c>
      <c r="F15" s="803" t="s">
        <v>1583</v>
      </c>
      <c r="G15" s="803">
        <f>(G13+G11)-G14</f>
        <v>69.922563911811366</v>
      </c>
      <c r="H15" s="803" t="s">
        <v>1583</v>
      </c>
      <c r="I15" s="790"/>
    </row>
    <row r="16" spans="1:12" ht="13" x14ac:dyDescent="0.3">
      <c r="A16" s="802" t="s">
        <v>1563</v>
      </c>
      <c r="B16" s="802" t="s">
        <v>1564</v>
      </c>
      <c r="C16" s="803">
        <f>C7/C8</f>
        <v>1</v>
      </c>
      <c r="D16" s="803" t="s">
        <v>1583</v>
      </c>
      <c r="E16" s="803">
        <f>E7/E8</f>
        <v>2.6666666666666665</v>
      </c>
      <c r="F16" s="803" t="s">
        <v>1583</v>
      </c>
      <c r="G16" s="803">
        <f>G7/G8</f>
        <v>2</v>
      </c>
      <c r="H16" s="803" t="s">
        <v>1583</v>
      </c>
      <c r="I16" s="790"/>
    </row>
    <row r="17" spans="1:9" ht="13" x14ac:dyDescent="0.3">
      <c r="A17" s="804" t="s">
        <v>1565</v>
      </c>
      <c r="B17" s="804"/>
      <c r="C17" s="805">
        <f>360*C9*C15/$A$2</f>
        <v>130.64724036518393</v>
      </c>
      <c r="D17" s="805" t="s">
        <v>1577</v>
      </c>
      <c r="E17" s="805">
        <f>360*E9*E15/$A$2</f>
        <v>55.4445089545383</v>
      </c>
      <c r="F17" s="805"/>
      <c r="G17" s="805">
        <f>360*G9*G15/$A$2</f>
        <v>73.125848989895104</v>
      </c>
      <c r="H17" s="805"/>
      <c r="I17" s="790"/>
    </row>
    <row r="18" spans="1:9" ht="13" x14ac:dyDescent="0.3">
      <c r="A18" s="804" t="s">
        <v>1567</v>
      </c>
      <c r="B18" s="804"/>
      <c r="C18" s="805">
        <f>2*PI()*C9*C15/$A$2</f>
        <v>2.2802245030168988</v>
      </c>
      <c r="D18" s="805" t="s">
        <v>1584</v>
      </c>
      <c r="E18" s="805">
        <f>2*PI()*E9*E15/$A$2</f>
        <v>0.96768923340817237</v>
      </c>
      <c r="F18" s="805"/>
      <c r="G18" s="805">
        <f>2*PI()*G9*G15/$A$2</f>
        <v>1.2762868331898392</v>
      </c>
      <c r="H18" s="805"/>
      <c r="I18" s="790"/>
    </row>
    <row r="19" spans="1:9" ht="13" x14ac:dyDescent="0.3">
      <c r="A19" s="806" t="s">
        <v>1569</v>
      </c>
      <c r="B19" s="806"/>
      <c r="C19" s="807">
        <f>0.5*$A$2/C15</f>
        <v>137.77558523001761</v>
      </c>
      <c r="D19" s="807" t="s">
        <v>1577</v>
      </c>
      <c r="E19" s="807">
        <f>0.5*$A$2/E15</f>
        <v>324.64892086534832</v>
      </c>
      <c r="F19" s="807"/>
      <c r="G19" s="807">
        <f>0.5*$A$2/G15</f>
        <v>246.15098831177102</v>
      </c>
      <c r="H19" s="807"/>
      <c r="I19" s="790"/>
    </row>
    <row r="20" spans="1:9" ht="13" x14ac:dyDescent="0.3">
      <c r="A20" s="808" t="s">
        <v>1570</v>
      </c>
      <c r="B20" s="808"/>
      <c r="C20" s="809">
        <f>$A$2/C15</f>
        <v>275.55117046003522</v>
      </c>
      <c r="D20" s="809" t="s">
        <v>1577</v>
      </c>
      <c r="E20" s="809">
        <f>$A$2/E15</f>
        <v>649.29784173069663</v>
      </c>
      <c r="F20" s="809"/>
      <c r="G20" s="809">
        <f>$A$2/G15</f>
        <v>492.30197662354203</v>
      </c>
      <c r="H20" s="809"/>
      <c r="I20" s="790"/>
    </row>
    <row r="21" spans="1:9" ht="13" customHeight="1" x14ac:dyDescent="0.3">
      <c r="A21" s="818"/>
      <c r="B21" s="818"/>
      <c r="C21" s="886" t="s">
        <v>1571</v>
      </c>
      <c r="D21" s="887"/>
      <c r="E21" s="886" t="s">
        <v>1572</v>
      </c>
      <c r="F21" s="887"/>
      <c r="G21" s="886" t="s">
        <v>1573</v>
      </c>
      <c r="H21" s="887"/>
      <c r="I21" s="790"/>
    </row>
    <row r="22" spans="1:9" ht="13" customHeight="1" x14ac:dyDescent="0.3">
      <c r="A22" s="818"/>
      <c r="B22" s="818"/>
      <c r="C22" s="888"/>
      <c r="D22" s="889"/>
      <c r="E22" s="888"/>
      <c r="F22" s="889"/>
      <c r="G22" s="888"/>
      <c r="H22" s="889"/>
      <c r="I22" s="790"/>
    </row>
    <row r="23" spans="1:9" ht="13" x14ac:dyDescent="0.3">
      <c r="A23" s="811" t="s">
        <v>1574</v>
      </c>
      <c r="B23" s="811"/>
      <c r="C23" s="812">
        <f>(C19*E19)^0.5</f>
        <v>211.49159573495359</v>
      </c>
      <c r="D23" s="811" t="s">
        <v>1552</v>
      </c>
      <c r="E23" s="812">
        <f>(E19*G19)^0.5</f>
        <v>282.68826067835823</v>
      </c>
      <c r="F23" s="812" t="s">
        <v>1552</v>
      </c>
      <c r="G23" s="812">
        <f>(G19*C19)^0.5</f>
        <v>184.15644563685919</v>
      </c>
      <c r="H23" s="812" t="s">
        <v>1552</v>
      </c>
      <c r="I23" s="790"/>
    </row>
    <row r="24" spans="1:9" ht="13" x14ac:dyDescent="0.3">
      <c r="A24" s="811"/>
      <c r="B24" s="811"/>
      <c r="C24" s="812">
        <f>((1.5*$A$2/C$15)*(1.5*$A$2/E$15))^0.5</f>
        <v>634.47478720486083</v>
      </c>
      <c r="D24" s="811" t="s">
        <v>1552</v>
      </c>
      <c r="E24" s="812">
        <f>((1.5*$A$2/E$15)*(1.5*$A$2/G$15))^0.5</f>
        <v>848.0647820350747</v>
      </c>
      <c r="F24" s="812" t="s">
        <v>1552</v>
      </c>
      <c r="G24" s="812">
        <f>((1.5*$A$2/G$15)*(1.5*$A$2/C$15))^0.5</f>
        <v>552.46933691057757</v>
      </c>
      <c r="H24" s="812" t="s">
        <v>1552</v>
      </c>
      <c r="I24" s="790"/>
    </row>
    <row r="25" spans="1:9" ht="13" x14ac:dyDescent="0.3">
      <c r="A25" s="811"/>
      <c r="B25" s="811"/>
      <c r="C25" s="812">
        <f>((2.5*$A$2/C$15)*(2.5*$A$2/E$15))^0.5</f>
        <v>1057.4579786747679</v>
      </c>
      <c r="D25" s="811" t="s">
        <v>1552</v>
      </c>
      <c r="E25" s="812">
        <f>((2.5*$A$2/E$15)*(2.5*$A$2/G$15))^0.5</f>
        <v>1413.4413033917913</v>
      </c>
      <c r="F25" s="812" t="s">
        <v>1552</v>
      </c>
      <c r="G25" s="812">
        <f>((2.5*$A$2/G$15)*(2.5*$A$2/C$15))^0.5</f>
        <v>920.78222818429606</v>
      </c>
      <c r="H25" s="812" t="s">
        <v>1552</v>
      </c>
      <c r="I25" s="790"/>
    </row>
    <row r="26" spans="1:9" ht="13" x14ac:dyDescent="0.3">
      <c r="A26" s="811"/>
      <c r="B26" s="811"/>
      <c r="C26" s="812">
        <f>((3.5*$A$2/C$15)*(3.5*$A$2/E$15))^0.5</f>
        <v>1480.4411701446752</v>
      </c>
      <c r="D26" s="811" t="s">
        <v>1552</v>
      </c>
      <c r="E26" s="812">
        <f>((3.5*$A$2/E$15)*(3.5*$A$2/G$15))^0.5</f>
        <v>1978.8178247485075</v>
      </c>
      <c r="F26" s="812" t="s">
        <v>1552</v>
      </c>
      <c r="G26" s="812">
        <f>((3.5*$A$2/G$15)*(3.5*$A$2/C$15))^0.5</f>
        <v>1289.0951194580143</v>
      </c>
      <c r="H26" s="812" t="s">
        <v>1552</v>
      </c>
      <c r="I26" s="790"/>
    </row>
    <row r="27" spans="1:9" ht="13" x14ac:dyDescent="0.3">
      <c r="A27" s="811"/>
      <c r="B27" s="811"/>
      <c r="C27" s="812">
        <f>((4.5*$A$2/C$15)*(4.5*$A$2/E$15))^0.5</f>
        <v>1903.4243616145823</v>
      </c>
      <c r="D27" s="811" t="s">
        <v>1552</v>
      </c>
      <c r="E27" s="812">
        <f>((4.5*$A$2/E$15)*(4.5*$A$2/G$15))^0.5</f>
        <v>2544.1943461052242</v>
      </c>
      <c r="F27" s="812" t="s">
        <v>1552</v>
      </c>
      <c r="G27" s="812">
        <f>((4.5*$A$2/G$15)*(4.5*$A$2/C$15))^0.5</f>
        <v>1657.4080107317327</v>
      </c>
      <c r="H27" s="812" t="s">
        <v>1552</v>
      </c>
      <c r="I27" s="790"/>
    </row>
    <row r="28" spans="1:9" ht="13" x14ac:dyDescent="0.3">
      <c r="A28" s="811"/>
      <c r="B28" s="811"/>
      <c r="C28" s="812">
        <f>((5.5*$A$2/C$15)*(5.5*$A$2/E$15))^0.5</f>
        <v>2326.4075530844893</v>
      </c>
      <c r="D28" s="811" t="s">
        <v>1552</v>
      </c>
      <c r="E28" s="812">
        <f>((5.5*$A$2/E$15)*(5.5*$A$2/G$15))^0.5</f>
        <v>3109.5708674619405</v>
      </c>
      <c r="F28" s="812" t="s">
        <v>1552</v>
      </c>
      <c r="G28" s="812">
        <f>((5.5*$A$2/G$15)*(5.5*$A$2/C$15))^0.5</f>
        <v>2025.7209020054513</v>
      </c>
      <c r="H28" s="812" t="s">
        <v>1552</v>
      </c>
      <c r="I28" s="790"/>
    </row>
    <row r="29" spans="1:9" ht="13" x14ac:dyDescent="0.3">
      <c r="A29" s="811"/>
      <c r="B29" s="811"/>
      <c r="C29" s="812">
        <f>((6.5*$A$2/C$15)*(6.5*$A$2/E$15))^0.5</f>
        <v>2749.3907445543969</v>
      </c>
      <c r="D29" s="811" t="s">
        <v>1552</v>
      </c>
      <c r="E29" s="812">
        <f>((6.5*$A$2/E$15)*(6.5*$A$2/G$15))^0.5</f>
        <v>3674.9473888186571</v>
      </c>
      <c r="F29" s="812" t="s">
        <v>1552</v>
      </c>
      <c r="G29" s="812">
        <f>((6.5*$A$2/G$15)*(6.5*$A$2/C$15))^0.5</f>
        <v>2394.0337932791699</v>
      </c>
      <c r="H29" s="812" t="s">
        <v>1552</v>
      </c>
      <c r="I29" s="790"/>
    </row>
    <row r="30" spans="1:9" ht="13" x14ac:dyDescent="0.3">
      <c r="A30" s="813"/>
      <c r="B30" s="813"/>
      <c r="C30" s="814"/>
      <c r="D30" s="815"/>
      <c r="E30" s="814"/>
      <c r="F30" s="814"/>
      <c r="G30" s="814"/>
      <c r="H30" s="814"/>
      <c r="I30" s="790"/>
    </row>
    <row r="31" spans="1:9" ht="13" x14ac:dyDescent="0.3">
      <c r="A31" s="806" t="s">
        <v>1575</v>
      </c>
      <c r="B31" s="806"/>
      <c r="C31" s="807">
        <f>C14-E14</f>
        <v>-24.031242374328485</v>
      </c>
      <c r="D31" s="807" t="s">
        <v>1583</v>
      </c>
      <c r="E31" s="807">
        <f>E14-G14</f>
        <v>7.4626998794046813</v>
      </c>
      <c r="F31" s="807" t="s">
        <v>1583</v>
      </c>
      <c r="G31" s="807">
        <f>C14-G14</f>
        <v>-16.568542494923804</v>
      </c>
      <c r="H31" s="807" t="s">
        <v>1583</v>
      </c>
      <c r="I31" s="790"/>
    </row>
    <row r="32" spans="1:9" ht="13" x14ac:dyDescent="0.3">
      <c r="A32" s="808" t="s">
        <v>1576</v>
      </c>
      <c r="B32" s="808"/>
      <c r="C32" s="809">
        <f>C31*C9*360/$A$2</f>
        <v>-25.132159099902054</v>
      </c>
      <c r="D32" s="809" t="s">
        <v>1577</v>
      </c>
      <c r="E32" s="809">
        <f>E31*E9*360/$A$2</f>
        <v>7.8045802943743645</v>
      </c>
      <c r="F32" s="809" t="s">
        <v>1577</v>
      </c>
      <c r="G32" s="809">
        <f>G31*G9*360/$A$2</f>
        <v>-17.32757880552769</v>
      </c>
      <c r="H32" s="809" t="s">
        <v>1577</v>
      </c>
      <c r="I32" s="790"/>
    </row>
    <row r="33" spans="1:9" ht="13" x14ac:dyDescent="0.3">
      <c r="A33" s="810"/>
      <c r="B33" s="810"/>
      <c r="C33" s="816"/>
      <c r="D33" s="552"/>
      <c r="E33" s="816"/>
      <c r="F33" s="552"/>
      <c r="G33" s="816"/>
      <c r="H33" s="552"/>
      <c r="I33" s="790"/>
    </row>
    <row r="34" spans="1:9" ht="13" x14ac:dyDescent="0.3">
      <c r="A34" s="806" t="s">
        <v>1578</v>
      </c>
      <c r="B34" s="806"/>
      <c r="C34" s="807">
        <f>1000*(C15)/$A$2</f>
        <v>3.6290900101439987</v>
      </c>
      <c r="D34" s="807" t="s">
        <v>1579</v>
      </c>
      <c r="E34" s="807">
        <f>1000*(E15)/$A$2</f>
        <v>1.5401252487371748</v>
      </c>
      <c r="F34" s="807" t="s">
        <v>1579</v>
      </c>
      <c r="G34" s="807">
        <f>1000*(G15)/$A$2</f>
        <v>2.0312735830526414</v>
      </c>
      <c r="H34" s="807" t="s">
        <v>1579</v>
      </c>
      <c r="I34" s="790"/>
    </row>
    <row r="35" spans="1:9" ht="13" x14ac:dyDescent="0.3">
      <c r="A35" s="808" t="s">
        <v>1580</v>
      </c>
      <c r="B35" s="808"/>
      <c r="C35" s="809">
        <f>1000/C34</f>
        <v>275.55117046003522</v>
      </c>
      <c r="D35" s="809" t="s">
        <v>1552</v>
      </c>
      <c r="E35" s="809">
        <f>1000/E34</f>
        <v>649.29784173069663</v>
      </c>
      <c r="F35" s="809" t="s">
        <v>1552</v>
      </c>
      <c r="G35" s="809">
        <f>1000/G34</f>
        <v>492.30197662354209</v>
      </c>
      <c r="H35" s="809" t="s">
        <v>1552</v>
      </c>
      <c r="I35" s="790"/>
    </row>
    <row r="36" spans="1:9" ht="15.5" x14ac:dyDescent="0.35">
      <c r="A36" s="819"/>
      <c r="B36" s="790"/>
      <c r="C36" s="790"/>
      <c r="D36" s="790"/>
      <c r="E36" s="790"/>
      <c r="F36" s="790"/>
      <c r="G36" s="790"/>
      <c r="H36" s="790"/>
      <c r="I36" s="790"/>
    </row>
    <row r="37" spans="1:9" ht="15.5" x14ac:dyDescent="0.35">
      <c r="A37" s="819"/>
      <c r="B37" s="790"/>
      <c r="C37" s="790"/>
      <c r="D37" s="790"/>
      <c r="E37" s="790"/>
      <c r="F37" s="790"/>
      <c r="G37" s="790"/>
      <c r="H37" s="790"/>
      <c r="I37" s="790"/>
    </row>
    <row r="38" spans="1:9" ht="15.5" x14ac:dyDescent="0.35">
      <c r="A38" s="819"/>
      <c r="B38" s="790"/>
      <c r="C38" s="790"/>
      <c r="D38" s="790"/>
      <c r="E38" s="790"/>
      <c r="F38" s="790"/>
      <c r="G38" s="790"/>
      <c r="H38" s="790"/>
      <c r="I38" s="790"/>
    </row>
    <row r="39" spans="1:9" x14ac:dyDescent="0.25">
      <c r="A39" s="790"/>
      <c r="B39" s="790"/>
      <c r="C39" s="790"/>
      <c r="D39" s="790"/>
      <c r="E39" s="790"/>
      <c r="F39" s="790"/>
      <c r="G39" s="790"/>
      <c r="H39" s="790"/>
      <c r="I39" s="790"/>
    </row>
    <row r="40" spans="1:9" x14ac:dyDescent="0.25">
      <c r="A40" s="790"/>
      <c r="B40" s="790"/>
      <c r="C40" s="790"/>
      <c r="D40" s="790"/>
      <c r="E40" s="790"/>
      <c r="F40" s="790"/>
      <c r="G40" s="790"/>
      <c r="H40" s="790"/>
      <c r="I40" s="790"/>
    </row>
    <row r="41" spans="1:9" ht="13.5" x14ac:dyDescent="0.25">
      <c r="A41" s="820"/>
      <c r="B41" s="790"/>
      <c r="C41" s="790"/>
      <c r="D41" s="790"/>
      <c r="E41" s="790"/>
      <c r="F41" s="790"/>
      <c r="G41" s="790"/>
      <c r="H41" s="790"/>
      <c r="I41" s="790"/>
    </row>
    <row r="42" spans="1:9" ht="13.5" x14ac:dyDescent="0.25">
      <c r="A42" s="820"/>
      <c r="B42" s="790"/>
      <c r="C42" s="790"/>
      <c r="D42" s="790"/>
      <c r="E42" s="790"/>
      <c r="F42" s="790"/>
      <c r="G42" s="790"/>
      <c r="H42" s="790"/>
      <c r="I42" s="790"/>
    </row>
    <row r="43" spans="1:9" x14ac:dyDescent="0.25">
      <c r="A43" s="821"/>
      <c r="B43" s="790"/>
      <c r="C43" s="790"/>
      <c r="D43" s="790"/>
      <c r="E43" s="790"/>
      <c r="F43" s="790"/>
      <c r="G43" s="790"/>
      <c r="H43" s="790"/>
      <c r="I43" s="790"/>
    </row>
    <row r="44" spans="1:9" x14ac:dyDescent="0.25">
      <c r="A44" s="790"/>
      <c r="B44" s="790"/>
      <c r="C44" s="790"/>
      <c r="D44" s="790"/>
      <c r="E44" s="790"/>
      <c r="F44" s="790"/>
      <c r="G44" s="790"/>
      <c r="H44" s="790"/>
      <c r="I44" s="790"/>
    </row>
    <row r="45" spans="1:9" x14ac:dyDescent="0.25">
      <c r="A45" s="790"/>
      <c r="B45" s="790"/>
      <c r="C45" s="790"/>
      <c r="D45" s="790"/>
      <c r="E45" s="790"/>
      <c r="F45" s="790"/>
      <c r="G45" s="790"/>
      <c r="H45" s="790"/>
      <c r="I45" s="790"/>
    </row>
    <row r="46" spans="1:9" x14ac:dyDescent="0.25">
      <c r="A46" s="790"/>
      <c r="B46" s="790"/>
      <c r="C46" s="790"/>
      <c r="D46" s="790"/>
      <c r="E46" s="790"/>
      <c r="F46" s="790"/>
      <c r="G46" s="790"/>
      <c r="H46" s="790"/>
      <c r="I46" s="790"/>
    </row>
    <row r="47" spans="1:9" x14ac:dyDescent="0.25">
      <c r="A47" s="790"/>
      <c r="B47" s="790"/>
      <c r="C47" s="790"/>
      <c r="D47" s="790"/>
      <c r="E47" s="790"/>
      <c r="F47" s="790"/>
      <c r="G47" s="790"/>
      <c r="H47" s="790"/>
      <c r="I47" s="790"/>
    </row>
    <row r="48" spans="1:9" x14ac:dyDescent="0.25">
      <c r="A48" s="790"/>
      <c r="B48" s="790"/>
      <c r="C48" s="790"/>
      <c r="D48" s="790"/>
      <c r="E48" s="790"/>
      <c r="F48" s="790"/>
      <c r="G48" s="790"/>
      <c r="H48" s="790"/>
      <c r="I48" s="790"/>
    </row>
    <row r="49" spans="1:9" x14ac:dyDescent="0.25">
      <c r="A49" s="790"/>
      <c r="B49" s="790"/>
      <c r="C49" s="790"/>
      <c r="D49" s="790"/>
      <c r="E49" s="790"/>
      <c r="F49" s="790"/>
      <c r="G49" s="790"/>
      <c r="H49" s="790"/>
      <c r="I49" s="790"/>
    </row>
    <row r="50" spans="1:9" x14ac:dyDescent="0.25">
      <c r="A50" s="790"/>
      <c r="B50" s="790"/>
      <c r="C50" s="790"/>
      <c r="D50" s="790"/>
      <c r="E50" s="790"/>
      <c r="F50" s="790"/>
      <c r="G50" s="790"/>
      <c r="H50" s="790"/>
      <c r="I50" s="790"/>
    </row>
    <row r="51" spans="1:9" x14ac:dyDescent="0.25">
      <c r="A51" s="790"/>
      <c r="B51" s="790"/>
      <c r="C51" s="790"/>
      <c r="D51" s="790"/>
      <c r="E51" s="790"/>
      <c r="F51" s="790"/>
      <c r="G51" s="790"/>
      <c r="H51" s="790"/>
      <c r="I51" s="790"/>
    </row>
    <row r="52" spans="1:9" x14ac:dyDescent="0.25">
      <c r="A52" s="790"/>
      <c r="B52" s="790"/>
      <c r="C52" s="790"/>
      <c r="D52" s="790"/>
      <c r="E52" s="790"/>
      <c r="F52" s="790"/>
      <c r="G52" s="790"/>
      <c r="H52" s="790"/>
      <c r="I52" s="790"/>
    </row>
    <row r="53" spans="1:9" x14ac:dyDescent="0.25">
      <c r="A53" s="790"/>
      <c r="B53" s="790"/>
      <c r="C53" s="790"/>
      <c r="D53" s="790"/>
      <c r="E53" s="790"/>
      <c r="F53" s="790"/>
      <c r="G53" s="790"/>
      <c r="H53" s="790"/>
      <c r="I53" s="790"/>
    </row>
    <row r="54" spans="1:9" x14ac:dyDescent="0.25">
      <c r="A54" s="790"/>
      <c r="B54" s="790"/>
      <c r="C54" s="790"/>
      <c r="D54" s="790"/>
      <c r="E54" s="790"/>
      <c r="F54" s="790"/>
      <c r="G54" s="790"/>
      <c r="H54" s="790"/>
      <c r="I54" s="790"/>
    </row>
    <row r="55" spans="1:9" x14ac:dyDescent="0.25">
      <c r="A55" s="790"/>
      <c r="B55" s="790"/>
      <c r="C55" s="790"/>
      <c r="D55" s="790"/>
      <c r="E55" s="790"/>
      <c r="F55" s="790"/>
      <c r="G55" s="790"/>
      <c r="H55" s="790"/>
      <c r="I55" s="790"/>
    </row>
    <row r="56" spans="1:9" x14ac:dyDescent="0.25">
      <c r="A56" s="790"/>
      <c r="B56" s="790"/>
      <c r="C56" s="790"/>
      <c r="D56" s="790"/>
      <c r="E56" s="790"/>
      <c r="F56" s="790"/>
      <c r="G56" s="790"/>
      <c r="H56" s="790"/>
      <c r="I56" s="790"/>
    </row>
    <row r="57" spans="1:9" x14ac:dyDescent="0.25">
      <c r="A57" s="790"/>
      <c r="B57" s="790"/>
      <c r="C57" s="790"/>
      <c r="D57" s="790"/>
      <c r="E57" s="790"/>
      <c r="F57" s="790"/>
      <c r="G57" s="790"/>
      <c r="H57" s="790"/>
      <c r="I57" s="790"/>
    </row>
  </sheetData>
  <mergeCells count="3">
    <mergeCell ref="C21:D22"/>
    <mergeCell ref="E21:F22"/>
    <mergeCell ref="G21:H22"/>
  </mergeCells>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20"/>
  <sheetViews>
    <sheetView workbookViewId="0">
      <selection activeCell="F34" sqref="F33:F34"/>
    </sheetView>
  </sheetViews>
  <sheetFormatPr defaultRowHeight="12.5" x14ac:dyDescent="0.25"/>
  <cols>
    <col min="1" max="1" width="39.26953125" customWidth="1"/>
    <col min="2" max="2" width="11.26953125" customWidth="1"/>
    <col min="3" max="3" width="12.81640625" customWidth="1"/>
    <col min="4" max="4" width="15.26953125" customWidth="1"/>
    <col min="5" max="5" width="14.7265625" customWidth="1"/>
    <col min="6" max="6" width="18.54296875" customWidth="1"/>
    <col min="11" max="11" width="41.26953125" bestFit="1" customWidth="1"/>
    <col min="257" max="257" width="39.26953125" customWidth="1"/>
    <col min="258" max="258" width="11.26953125" customWidth="1"/>
    <col min="259" max="259" width="12.81640625" customWidth="1"/>
    <col min="260" max="260" width="15.26953125" customWidth="1"/>
    <col min="261" max="261" width="14.7265625" customWidth="1"/>
    <col min="262" max="262" width="18.54296875" customWidth="1"/>
    <col min="513" max="513" width="39.26953125" customWidth="1"/>
    <col min="514" max="514" width="11.26953125" customWidth="1"/>
    <col min="515" max="515" width="12.81640625" customWidth="1"/>
    <col min="516" max="516" width="15.26953125" customWidth="1"/>
    <col min="517" max="517" width="14.7265625" customWidth="1"/>
    <col min="518" max="518" width="18.54296875" customWidth="1"/>
    <col min="769" max="769" width="39.26953125" customWidth="1"/>
    <col min="770" max="770" width="11.26953125" customWidth="1"/>
    <col min="771" max="771" width="12.81640625" customWidth="1"/>
    <col min="772" max="772" width="15.26953125" customWidth="1"/>
    <col min="773" max="773" width="14.7265625" customWidth="1"/>
    <col min="774" max="774" width="18.54296875" customWidth="1"/>
    <col min="1025" max="1025" width="39.26953125" customWidth="1"/>
    <col min="1026" max="1026" width="11.26953125" customWidth="1"/>
    <col min="1027" max="1027" width="12.81640625" customWidth="1"/>
    <col min="1028" max="1028" width="15.26953125" customWidth="1"/>
    <col min="1029" max="1029" width="14.7265625" customWidth="1"/>
    <col min="1030" max="1030" width="18.54296875" customWidth="1"/>
    <col min="1281" max="1281" width="39.26953125" customWidth="1"/>
    <col min="1282" max="1282" width="11.26953125" customWidth="1"/>
    <col min="1283" max="1283" width="12.81640625" customWidth="1"/>
    <col min="1284" max="1284" width="15.26953125" customWidth="1"/>
    <col min="1285" max="1285" width="14.7265625" customWidth="1"/>
    <col min="1286" max="1286" width="18.54296875" customWidth="1"/>
    <col min="1537" max="1537" width="39.26953125" customWidth="1"/>
    <col min="1538" max="1538" width="11.26953125" customWidth="1"/>
    <col min="1539" max="1539" width="12.81640625" customWidth="1"/>
    <col min="1540" max="1540" width="15.26953125" customWidth="1"/>
    <col min="1541" max="1541" width="14.7265625" customWidth="1"/>
    <col min="1542" max="1542" width="18.54296875" customWidth="1"/>
    <col min="1793" max="1793" width="39.26953125" customWidth="1"/>
    <col min="1794" max="1794" width="11.26953125" customWidth="1"/>
    <col min="1795" max="1795" width="12.81640625" customWidth="1"/>
    <col min="1796" max="1796" width="15.26953125" customWidth="1"/>
    <col min="1797" max="1797" width="14.7265625" customWidth="1"/>
    <col min="1798" max="1798" width="18.54296875" customWidth="1"/>
    <col min="2049" max="2049" width="39.26953125" customWidth="1"/>
    <col min="2050" max="2050" width="11.26953125" customWidth="1"/>
    <col min="2051" max="2051" width="12.81640625" customWidth="1"/>
    <col min="2052" max="2052" width="15.26953125" customWidth="1"/>
    <col min="2053" max="2053" width="14.7265625" customWidth="1"/>
    <col min="2054" max="2054" width="18.54296875" customWidth="1"/>
    <col min="2305" max="2305" width="39.26953125" customWidth="1"/>
    <col min="2306" max="2306" width="11.26953125" customWidth="1"/>
    <col min="2307" max="2307" width="12.81640625" customWidth="1"/>
    <col min="2308" max="2308" width="15.26953125" customWidth="1"/>
    <col min="2309" max="2309" width="14.7265625" customWidth="1"/>
    <col min="2310" max="2310" width="18.54296875" customWidth="1"/>
    <col min="2561" max="2561" width="39.26953125" customWidth="1"/>
    <col min="2562" max="2562" width="11.26953125" customWidth="1"/>
    <col min="2563" max="2563" width="12.81640625" customWidth="1"/>
    <col min="2564" max="2564" width="15.26953125" customWidth="1"/>
    <col min="2565" max="2565" width="14.7265625" customWidth="1"/>
    <col min="2566" max="2566" width="18.54296875" customWidth="1"/>
    <col min="2817" max="2817" width="39.26953125" customWidth="1"/>
    <col min="2818" max="2818" width="11.26953125" customWidth="1"/>
    <col min="2819" max="2819" width="12.81640625" customWidth="1"/>
    <col min="2820" max="2820" width="15.26953125" customWidth="1"/>
    <col min="2821" max="2821" width="14.7265625" customWidth="1"/>
    <col min="2822" max="2822" width="18.54296875" customWidth="1"/>
    <col min="3073" max="3073" width="39.26953125" customWidth="1"/>
    <col min="3074" max="3074" width="11.26953125" customWidth="1"/>
    <col min="3075" max="3075" width="12.81640625" customWidth="1"/>
    <col min="3076" max="3076" width="15.26953125" customWidth="1"/>
    <col min="3077" max="3077" width="14.7265625" customWidth="1"/>
    <col min="3078" max="3078" width="18.54296875" customWidth="1"/>
    <col min="3329" max="3329" width="39.26953125" customWidth="1"/>
    <col min="3330" max="3330" width="11.26953125" customWidth="1"/>
    <col min="3331" max="3331" width="12.81640625" customWidth="1"/>
    <col min="3332" max="3332" width="15.26953125" customWidth="1"/>
    <col min="3333" max="3333" width="14.7265625" customWidth="1"/>
    <col min="3334" max="3334" width="18.54296875" customWidth="1"/>
    <col min="3585" max="3585" width="39.26953125" customWidth="1"/>
    <col min="3586" max="3586" width="11.26953125" customWidth="1"/>
    <col min="3587" max="3587" width="12.81640625" customWidth="1"/>
    <col min="3588" max="3588" width="15.26953125" customWidth="1"/>
    <col min="3589" max="3589" width="14.7265625" customWidth="1"/>
    <col min="3590" max="3590" width="18.54296875" customWidth="1"/>
    <col min="3841" max="3841" width="39.26953125" customWidth="1"/>
    <col min="3842" max="3842" width="11.26953125" customWidth="1"/>
    <col min="3843" max="3843" width="12.81640625" customWidth="1"/>
    <col min="3844" max="3844" width="15.26953125" customWidth="1"/>
    <col min="3845" max="3845" width="14.7265625" customWidth="1"/>
    <col min="3846" max="3846" width="18.54296875" customWidth="1"/>
    <col min="4097" max="4097" width="39.26953125" customWidth="1"/>
    <col min="4098" max="4098" width="11.26953125" customWidth="1"/>
    <col min="4099" max="4099" width="12.81640625" customWidth="1"/>
    <col min="4100" max="4100" width="15.26953125" customWidth="1"/>
    <col min="4101" max="4101" width="14.7265625" customWidth="1"/>
    <col min="4102" max="4102" width="18.54296875" customWidth="1"/>
    <col min="4353" max="4353" width="39.26953125" customWidth="1"/>
    <col min="4354" max="4354" width="11.26953125" customWidth="1"/>
    <col min="4355" max="4355" width="12.81640625" customWidth="1"/>
    <col min="4356" max="4356" width="15.26953125" customWidth="1"/>
    <col min="4357" max="4357" width="14.7265625" customWidth="1"/>
    <col min="4358" max="4358" width="18.54296875" customWidth="1"/>
    <col min="4609" max="4609" width="39.26953125" customWidth="1"/>
    <col min="4610" max="4610" width="11.26953125" customWidth="1"/>
    <col min="4611" max="4611" width="12.81640625" customWidth="1"/>
    <col min="4612" max="4612" width="15.26953125" customWidth="1"/>
    <col min="4613" max="4613" width="14.7265625" customWidth="1"/>
    <col min="4614" max="4614" width="18.54296875" customWidth="1"/>
    <col min="4865" max="4865" width="39.26953125" customWidth="1"/>
    <col min="4866" max="4866" width="11.26953125" customWidth="1"/>
    <col min="4867" max="4867" width="12.81640625" customWidth="1"/>
    <col min="4868" max="4868" width="15.26953125" customWidth="1"/>
    <col min="4869" max="4869" width="14.7265625" customWidth="1"/>
    <col min="4870" max="4870" width="18.54296875" customWidth="1"/>
    <col min="5121" max="5121" width="39.26953125" customWidth="1"/>
    <col min="5122" max="5122" width="11.26953125" customWidth="1"/>
    <col min="5123" max="5123" width="12.81640625" customWidth="1"/>
    <col min="5124" max="5124" width="15.26953125" customWidth="1"/>
    <col min="5125" max="5125" width="14.7265625" customWidth="1"/>
    <col min="5126" max="5126" width="18.54296875" customWidth="1"/>
    <col min="5377" max="5377" width="39.26953125" customWidth="1"/>
    <col min="5378" max="5378" width="11.26953125" customWidth="1"/>
    <col min="5379" max="5379" width="12.81640625" customWidth="1"/>
    <col min="5380" max="5380" width="15.26953125" customWidth="1"/>
    <col min="5381" max="5381" width="14.7265625" customWidth="1"/>
    <col min="5382" max="5382" width="18.54296875" customWidth="1"/>
    <col min="5633" max="5633" width="39.26953125" customWidth="1"/>
    <col min="5634" max="5634" width="11.26953125" customWidth="1"/>
    <col min="5635" max="5635" width="12.81640625" customWidth="1"/>
    <col min="5636" max="5636" width="15.26953125" customWidth="1"/>
    <col min="5637" max="5637" width="14.7265625" customWidth="1"/>
    <col min="5638" max="5638" width="18.54296875" customWidth="1"/>
    <col min="5889" max="5889" width="39.26953125" customWidth="1"/>
    <col min="5890" max="5890" width="11.26953125" customWidth="1"/>
    <col min="5891" max="5891" width="12.81640625" customWidth="1"/>
    <col min="5892" max="5892" width="15.26953125" customWidth="1"/>
    <col min="5893" max="5893" width="14.7265625" customWidth="1"/>
    <col min="5894" max="5894" width="18.54296875" customWidth="1"/>
    <col min="6145" max="6145" width="39.26953125" customWidth="1"/>
    <col min="6146" max="6146" width="11.26953125" customWidth="1"/>
    <col min="6147" max="6147" width="12.81640625" customWidth="1"/>
    <col min="6148" max="6148" width="15.26953125" customWidth="1"/>
    <col min="6149" max="6149" width="14.7265625" customWidth="1"/>
    <col min="6150" max="6150" width="18.54296875" customWidth="1"/>
    <col min="6401" max="6401" width="39.26953125" customWidth="1"/>
    <col min="6402" max="6402" width="11.26953125" customWidth="1"/>
    <col min="6403" max="6403" width="12.81640625" customWidth="1"/>
    <col min="6404" max="6404" width="15.26953125" customWidth="1"/>
    <col min="6405" max="6405" width="14.7265625" customWidth="1"/>
    <col min="6406" max="6406" width="18.54296875" customWidth="1"/>
    <col min="6657" max="6657" width="39.26953125" customWidth="1"/>
    <col min="6658" max="6658" width="11.26953125" customWidth="1"/>
    <col min="6659" max="6659" width="12.81640625" customWidth="1"/>
    <col min="6660" max="6660" width="15.26953125" customWidth="1"/>
    <col min="6661" max="6661" width="14.7265625" customWidth="1"/>
    <col min="6662" max="6662" width="18.54296875" customWidth="1"/>
    <col min="6913" max="6913" width="39.26953125" customWidth="1"/>
    <col min="6914" max="6914" width="11.26953125" customWidth="1"/>
    <col min="6915" max="6915" width="12.81640625" customWidth="1"/>
    <col min="6916" max="6916" width="15.26953125" customWidth="1"/>
    <col min="6917" max="6917" width="14.7265625" customWidth="1"/>
    <col min="6918" max="6918" width="18.54296875" customWidth="1"/>
    <col min="7169" max="7169" width="39.26953125" customWidth="1"/>
    <col min="7170" max="7170" width="11.26953125" customWidth="1"/>
    <col min="7171" max="7171" width="12.81640625" customWidth="1"/>
    <col min="7172" max="7172" width="15.26953125" customWidth="1"/>
    <col min="7173" max="7173" width="14.7265625" customWidth="1"/>
    <col min="7174" max="7174" width="18.54296875" customWidth="1"/>
    <col min="7425" max="7425" width="39.26953125" customWidth="1"/>
    <col min="7426" max="7426" width="11.26953125" customWidth="1"/>
    <col min="7427" max="7427" width="12.81640625" customWidth="1"/>
    <col min="7428" max="7428" width="15.26953125" customWidth="1"/>
    <col min="7429" max="7429" width="14.7265625" customWidth="1"/>
    <col min="7430" max="7430" width="18.54296875" customWidth="1"/>
    <col min="7681" max="7681" width="39.26953125" customWidth="1"/>
    <col min="7682" max="7682" width="11.26953125" customWidth="1"/>
    <col min="7683" max="7683" width="12.81640625" customWidth="1"/>
    <col min="7684" max="7684" width="15.26953125" customWidth="1"/>
    <col min="7685" max="7685" width="14.7265625" customWidth="1"/>
    <col min="7686" max="7686" width="18.54296875" customWidth="1"/>
    <col min="7937" max="7937" width="39.26953125" customWidth="1"/>
    <col min="7938" max="7938" width="11.26953125" customWidth="1"/>
    <col min="7939" max="7939" width="12.81640625" customWidth="1"/>
    <col min="7940" max="7940" width="15.26953125" customWidth="1"/>
    <col min="7941" max="7941" width="14.7265625" customWidth="1"/>
    <col min="7942" max="7942" width="18.54296875" customWidth="1"/>
    <col min="8193" max="8193" width="39.26953125" customWidth="1"/>
    <col min="8194" max="8194" width="11.26953125" customWidth="1"/>
    <col min="8195" max="8195" width="12.81640625" customWidth="1"/>
    <col min="8196" max="8196" width="15.26953125" customWidth="1"/>
    <col min="8197" max="8197" width="14.7265625" customWidth="1"/>
    <col min="8198" max="8198" width="18.54296875" customWidth="1"/>
    <col min="8449" max="8449" width="39.26953125" customWidth="1"/>
    <col min="8450" max="8450" width="11.26953125" customWidth="1"/>
    <col min="8451" max="8451" width="12.81640625" customWidth="1"/>
    <col min="8452" max="8452" width="15.26953125" customWidth="1"/>
    <col min="8453" max="8453" width="14.7265625" customWidth="1"/>
    <col min="8454" max="8454" width="18.54296875" customWidth="1"/>
    <col min="8705" max="8705" width="39.26953125" customWidth="1"/>
    <col min="8706" max="8706" width="11.26953125" customWidth="1"/>
    <col min="8707" max="8707" width="12.81640625" customWidth="1"/>
    <col min="8708" max="8708" width="15.26953125" customWidth="1"/>
    <col min="8709" max="8709" width="14.7265625" customWidth="1"/>
    <col min="8710" max="8710" width="18.54296875" customWidth="1"/>
    <col min="8961" max="8961" width="39.26953125" customWidth="1"/>
    <col min="8962" max="8962" width="11.26953125" customWidth="1"/>
    <col min="8963" max="8963" width="12.81640625" customWidth="1"/>
    <col min="8964" max="8964" width="15.26953125" customWidth="1"/>
    <col min="8965" max="8965" width="14.7265625" customWidth="1"/>
    <col min="8966" max="8966" width="18.54296875" customWidth="1"/>
    <col min="9217" max="9217" width="39.26953125" customWidth="1"/>
    <col min="9218" max="9218" width="11.26953125" customWidth="1"/>
    <col min="9219" max="9219" width="12.81640625" customWidth="1"/>
    <col min="9220" max="9220" width="15.26953125" customWidth="1"/>
    <col min="9221" max="9221" width="14.7265625" customWidth="1"/>
    <col min="9222" max="9222" width="18.54296875" customWidth="1"/>
    <col min="9473" max="9473" width="39.26953125" customWidth="1"/>
    <col min="9474" max="9474" width="11.26953125" customWidth="1"/>
    <col min="9475" max="9475" width="12.81640625" customWidth="1"/>
    <col min="9476" max="9476" width="15.26953125" customWidth="1"/>
    <col min="9477" max="9477" width="14.7265625" customWidth="1"/>
    <col min="9478" max="9478" width="18.54296875" customWidth="1"/>
    <col min="9729" max="9729" width="39.26953125" customWidth="1"/>
    <col min="9730" max="9730" width="11.26953125" customWidth="1"/>
    <col min="9731" max="9731" width="12.81640625" customWidth="1"/>
    <col min="9732" max="9732" width="15.26953125" customWidth="1"/>
    <col min="9733" max="9733" width="14.7265625" customWidth="1"/>
    <col min="9734" max="9734" width="18.54296875" customWidth="1"/>
    <col min="9985" max="9985" width="39.26953125" customWidth="1"/>
    <col min="9986" max="9986" width="11.26953125" customWidth="1"/>
    <col min="9987" max="9987" width="12.81640625" customWidth="1"/>
    <col min="9988" max="9988" width="15.26953125" customWidth="1"/>
    <col min="9989" max="9989" width="14.7265625" customWidth="1"/>
    <col min="9990" max="9990" width="18.54296875" customWidth="1"/>
    <col min="10241" max="10241" width="39.26953125" customWidth="1"/>
    <col min="10242" max="10242" width="11.26953125" customWidth="1"/>
    <col min="10243" max="10243" width="12.81640625" customWidth="1"/>
    <col min="10244" max="10244" width="15.26953125" customWidth="1"/>
    <col min="10245" max="10245" width="14.7265625" customWidth="1"/>
    <col min="10246" max="10246" width="18.54296875" customWidth="1"/>
    <col min="10497" max="10497" width="39.26953125" customWidth="1"/>
    <col min="10498" max="10498" width="11.26953125" customWidth="1"/>
    <col min="10499" max="10499" width="12.81640625" customWidth="1"/>
    <col min="10500" max="10500" width="15.26953125" customWidth="1"/>
    <col min="10501" max="10501" width="14.7265625" customWidth="1"/>
    <col min="10502" max="10502" width="18.54296875" customWidth="1"/>
    <col min="10753" max="10753" width="39.26953125" customWidth="1"/>
    <col min="10754" max="10754" width="11.26953125" customWidth="1"/>
    <col min="10755" max="10755" width="12.81640625" customWidth="1"/>
    <col min="10756" max="10756" width="15.26953125" customWidth="1"/>
    <col min="10757" max="10757" width="14.7265625" customWidth="1"/>
    <col min="10758" max="10758" width="18.54296875" customWidth="1"/>
    <col min="11009" max="11009" width="39.26953125" customWidth="1"/>
    <col min="11010" max="11010" width="11.26953125" customWidth="1"/>
    <col min="11011" max="11011" width="12.81640625" customWidth="1"/>
    <col min="11012" max="11012" width="15.26953125" customWidth="1"/>
    <col min="11013" max="11013" width="14.7265625" customWidth="1"/>
    <col min="11014" max="11014" width="18.54296875" customWidth="1"/>
    <col min="11265" max="11265" width="39.26953125" customWidth="1"/>
    <col min="11266" max="11266" width="11.26953125" customWidth="1"/>
    <col min="11267" max="11267" width="12.81640625" customWidth="1"/>
    <col min="11268" max="11268" width="15.26953125" customWidth="1"/>
    <col min="11269" max="11269" width="14.7265625" customWidth="1"/>
    <col min="11270" max="11270" width="18.54296875" customWidth="1"/>
    <col min="11521" max="11521" width="39.26953125" customWidth="1"/>
    <col min="11522" max="11522" width="11.26953125" customWidth="1"/>
    <col min="11523" max="11523" width="12.81640625" customWidth="1"/>
    <col min="11524" max="11524" width="15.26953125" customWidth="1"/>
    <col min="11525" max="11525" width="14.7265625" customWidth="1"/>
    <col min="11526" max="11526" width="18.54296875" customWidth="1"/>
    <col min="11777" max="11777" width="39.26953125" customWidth="1"/>
    <col min="11778" max="11778" width="11.26953125" customWidth="1"/>
    <col min="11779" max="11779" width="12.81640625" customWidth="1"/>
    <col min="11780" max="11780" width="15.26953125" customWidth="1"/>
    <col min="11781" max="11781" width="14.7265625" customWidth="1"/>
    <col min="11782" max="11782" width="18.54296875" customWidth="1"/>
    <col min="12033" max="12033" width="39.26953125" customWidth="1"/>
    <col min="12034" max="12034" width="11.26953125" customWidth="1"/>
    <col min="12035" max="12035" width="12.81640625" customWidth="1"/>
    <col min="12036" max="12036" width="15.26953125" customWidth="1"/>
    <col min="12037" max="12037" width="14.7265625" customWidth="1"/>
    <col min="12038" max="12038" width="18.54296875" customWidth="1"/>
    <col min="12289" max="12289" width="39.26953125" customWidth="1"/>
    <col min="12290" max="12290" width="11.26953125" customWidth="1"/>
    <col min="12291" max="12291" width="12.81640625" customWidth="1"/>
    <col min="12292" max="12292" width="15.26953125" customWidth="1"/>
    <col min="12293" max="12293" width="14.7265625" customWidth="1"/>
    <col min="12294" max="12294" width="18.54296875" customWidth="1"/>
    <col min="12545" max="12545" width="39.26953125" customWidth="1"/>
    <col min="12546" max="12546" width="11.26953125" customWidth="1"/>
    <col min="12547" max="12547" width="12.81640625" customWidth="1"/>
    <col min="12548" max="12548" width="15.26953125" customWidth="1"/>
    <col min="12549" max="12549" width="14.7265625" customWidth="1"/>
    <col min="12550" max="12550" width="18.54296875" customWidth="1"/>
    <col min="12801" max="12801" width="39.26953125" customWidth="1"/>
    <col min="12802" max="12802" width="11.26953125" customWidth="1"/>
    <col min="12803" max="12803" width="12.81640625" customWidth="1"/>
    <col min="12804" max="12804" width="15.26953125" customWidth="1"/>
    <col min="12805" max="12805" width="14.7265625" customWidth="1"/>
    <col min="12806" max="12806" width="18.54296875" customWidth="1"/>
    <col min="13057" max="13057" width="39.26953125" customWidth="1"/>
    <col min="13058" max="13058" width="11.26953125" customWidth="1"/>
    <col min="13059" max="13059" width="12.81640625" customWidth="1"/>
    <col min="13060" max="13060" width="15.26953125" customWidth="1"/>
    <col min="13061" max="13061" width="14.7265625" customWidth="1"/>
    <col min="13062" max="13062" width="18.54296875" customWidth="1"/>
    <col min="13313" max="13313" width="39.26953125" customWidth="1"/>
    <col min="13314" max="13314" width="11.26953125" customWidth="1"/>
    <col min="13315" max="13315" width="12.81640625" customWidth="1"/>
    <col min="13316" max="13316" width="15.26953125" customWidth="1"/>
    <col min="13317" max="13317" width="14.7265625" customWidth="1"/>
    <col min="13318" max="13318" width="18.54296875" customWidth="1"/>
    <col min="13569" max="13569" width="39.26953125" customWidth="1"/>
    <col min="13570" max="13570" width="11.26953125" customWidth="1"/>
    <col min="13571" max="13571" width="12.81640625" customWidth="1"/>
    <col min="13572" max="13572" width="15.26953125" customWidth="1"/>
    <col min="13573" max="13573" width="14.7265625" customWidth="1"/>
    <col min="13574" max="13574" width="18.54296875" customWidth="1"/>
    <col min="13825" max="13825" width="39.26953125" customWidth="1"/>
    <col min="13826" max="13826" width="11.26953125" customWidth="1"/>
    <col min="13827" max="13827" width="12.81640625" customWidth="1"/>
    <col min="13828" max="13828" width="15.26953125" customWidth="1"/>
    <col min="13829" max="13829" width="14.7265625" customWidth="1"/>
    <col min="13830" max="13830" width="18.54296875" customWidth="1"/>
    <col min="14081" max="14081" width="39.26953125" customWidth="1"/>
    <col min="14082" max="14082" width="11.26953125" customWidth="1"/>
    <col min="14083" max="14083" width="12.81640625" customWidth="1"/>
    <col min="14084" max="14084" width="15.26953125" customWidth="1"/>
    <col min="14085" max="14085" width="14.7265625" customWidth="1"/>
    <col min="14086" max="14086" width="18.54296875" customWidth="1"/>
    <col min="14337" max="14337" width="39.26953125" customWidth="1"/>
    <col min="14338" max="14338" width="11.26953125" customWidth="1"/>
    <col min="14339" max="14339" width="12.81640625" customWidth="1"/>
    <col min="14340" max="14340" width="15.26953125" customWidth="1"/>
    <col min="14341" max="14341" width="14.7265625" customWidth="1"/>
    <col min="14342" max="14342" width="18.54296875" customWidth="1"/>
    <col min="14593" max="14593" width="39.26953125" customWidth="1"/>
    <col min="14594" max="14594" width="11.26953125" customWidth="1"/>
    <col min="14595" max="14595" width="12.81640625" customWidth="1"/>
    <col min="14596" max="14596" width="15.26953125" customWidth="1"/>
    <col min="14597" max="14597" width="14.7265625" customWidth="1"/>
    <col min="14598" max="14598" width="18.54296875" customWidth="1"/>
    <col min="14849" max="14849" width="39.26953125" customWidth="1"/>
    <col min="14850" max="14850" width="11.26953125" customWidth="1"/>
    <col min="14851" max="14851" width="12.81640625" customWidth="1"/>
    <col min="14852" max="14852" width="15.26953125" customWidth="1"/>
    <col min="14853" max="14853" width="14.7265625" customWidth="1"/>
    <col min="14854" max="14854" width="18.54296875" customWidth="1"/>
    <col min="15105" max="15105" width="39.26953125" customWidth="1"/>
    <col min="15106" max="15106" width="11.26953125" customWidth="1"/>
    <col min="15107" max="15107" width="12.81640625" customWidth="1"/>
    <col min="15108" max="15108" width="15.26953125" customWidth="1"/>
    <col min="15109" max="15109" width="14.7265625" customWidth="1"/>
    <col min="15110" max="15110" width="18.54296875" customWidth="1"/>
    <col min="15361" max="15361" width="39.26953125" customWidth="1"/>
    <col min="15362" max="15362" width="11.26953125" customWidth="1"/>
    <col min="15363" max="15363" width="12.81640625" customWidth="1"/>
    <col min="15364" max="15364" width="15.26953125" customWidth="1"/>
    <col min="15365" max="15365" width="14.7265625" customWidth="1"/>
    <col min="15366" max="15366" width="18.54296875" customWidth="1"/>
    <col min="15617" max="15617" width="39.26953125" customWidth="1"/>
    <col min="15618" max="15618" width="11.26953125" customWidth="1"/>
    <col min="15619" max="15619" width="12.81640625" customWidth="1"/>
    <col min="15620" max="15620" width="15.26953125" customWidth="1"/>
    <col min="15621" max="15621" width="14.7265625" customWidth="1"/>
    <col min="15622" max="15622" width="18.54296875" customWidth="1"/>
    <col min="15873" max="15873" width="39.26953125" customWidth="1"/>
    <col min="15874" max="15874" width="11.26953125" customWidth="1"/>
    <col min="15875" max="15875" width="12.81640625" customWidth="1"/>
    <col min="15876" max="15876" width="15.26953125" customWidth="1"/>
    <col min="15877" max="15877" width="14.7265625" customWidth="1"/>
    <col min="15878" max="15878" width="18.54296875" customWidth="1"/>
    <col min="16129" max="16129" width="39.26953125" customWidth="1"/>
    <col min="16130" max="16130" width="11.26953125" customWidth="1"/>
    <col min="16131" max="16131" width="12.81640625" customWidth="1"/>
    <col min="16132" max="16132" width="15.26953125" customWidth="1"/>
    <col min="16133" max="16133" width="14.7265625" customWidth="1"/>
    <col min="16134" max="16134" width="18.54296875" customWidth="1"/>
  </cols>
  <sheetData>
    <row r="1" spans="1:11" ht="13" x14ac:dyDescent="0.25">
      <c r="A1" s="822" t="s">
        <v>1537</v>
      </c>
      <c r="B1" s="822" t="s">
        <v>1538</v>
      </c>
      <c r="C1" s="822" t="s">
        <v>1539</v>
      </c>
      <c r="D1" s="822" t="s">
        <v>1540</v>
      </c>
      <c r="E1" s="822" t="s">
        <v>1541</v>
      </c>
      <c r="F1" s="822" t="s">
        <v>1542</v>
      </c>
      <c r="G1" s="790"/>
    </row>
    <row r="2" spans="1:11" ht="18.5" thickBot="1" x14ac:dyDescent="0.45">
      <c r="A2" s="791">
        <f>(3.281*(E2*1.402/F2)^0.5)*12</f>
        <v>13580.79874143077</v>
      </c>
      <c r="B2" s="792">
        <v>70</v>
      </c>
      <c r="C2" s="792">
        <v>50</v>
      </c>
      <c r="D2" s="793">
        <v>0</v>
      </c>
      <c r="E2" s="791">
        <f>((((D2/3.281)/1000)-44.3308)/-4.94654)^(1/0.190263)</f>
        <v>101326.69658869405</v>
      </c>
      <c r="F2" s="794">
        <f>((E2*28.965-(28.965-18.02)*((6.1078*((0.99999683+((B2-32)*5/9)*((-0.90826951*10^-2)+((B2-32)*5/9)*((0.78736169*10^-4)+((B2-32)*5/9)*((-0.61117958*10^-6)+((B2-32)*5/9)*((0.43884187*10^-8)+((B2-32)*5/9)*((-0.29883885*10^-10)+((B2-32)*5/9)*((0.21874425*10^-12)+((B2-32)*5/9)*((-0.17892321*10^-14)+((B2-32)*5/9)*((0.11112018*10^-16)+((B2-32)*5/9)*((-0.30994571*10^-19))))))))))))^-8)*100)*C2/100)/(8.31451*(((B2-32)*5/9)+273.15)))/1000</f>
        <v>1.1939777235433457</v>
      </c>
      <c r="G2" s="790"/>
      <c r="K2" s="508" t="s">
        <v>1594</v>
      </c>
    </row>
    <row r="3" spans="1:11" x14ac:dyDescent="0.25">
      <c r="A3" s="823"/>
      <c r="B3" s="823"/>
      <c r="C3" s="823"/>
      <c r="D3" s="823"/>
      <c r="E3" s="823"/>
      <c r="F3" s="823"/>
      <c r="G3" s="790"/>
    </row>
    <row r="4" spans="1:11" ht="13" x14ac:dyDescent="0.25">
      <c r="A4" s="822" t="s">
        <v>1581</v>
      </c>
      <c r="B4" s="822" t="s">
        <v>1538</v>
      </c>
      <c r="C4" s="822" t="s">
        <v>1539</v>
      </c>
      <c r="D4" s="822" t="s">
        <v>1582</v>
      </c>
      <c r="E4" s="822" t="s">
        <v>1541</v>
      </c>
      <c r="F4" s="822" t="s">
        <v>1542</v>
      </c>
      <c r="G4" s="790"/>
    </row>
    <row r="5" spans="1:11" ht="18.5" thickBot="1" x14ac:dyDescent="0.45">
      <c r="A5" s="791">
        <f>100*(E5*1.402/F5)^0.5</f>
        <v>34423.016424370682</v>
      </c>
      <c r="B5" s="792">
        <v>20</v>
      </c>
      <c r="C5" s="792">
        <v>50</v>
      </c>
      <c r="D5" s="793">
        <v>0</v>
      </c>
      <c r="E5" s="791">
        <f>(((D5/1000)-44.3308)/-4.94654)^(1/0.190263)</f>
        <v>101326.69658869405</v>
      </c>
      <c r="F5" s="794">
        <f>((E5*28.965-(28.965-18.02)*((6.1078*((0.99999683+B5*((-0.90826951*10^-2)+B5*((0.78736169*10^-4)+B5*((-0.61117958*10^-6)+B5*((0.43884187*10^-8)+B5*((-0.29883885*10^-10)+B5*((0.21874425*10^-12)+B5*((-0.17892321*10^-14)+B5*((0.11112018*10^-16)+B5*((-0.30994571*10^-19))))))))))))^-8)*100)*C5/100)/(8.31451*(B5+273.15)))/1000</f>
        <v>1.1988754021605201</v>
      </c>
      <c r="G5" s="790"/>
    </row>
    <row r="6" spans="1:11" x14ac:dyDescent="0.25">
      <c r="A6" s="790"/>
      <c r="B6" s="790"/>
      <c r="C6" s="790"/>
      <c r="D6" s="790"/>
      <c r="E6" s="790"/>
      <c r="F6" s="790"/>
      <c r="G6" s="790"/>
    </row>
    <row r="7" spans="1:11" ht="13" customHeight="1" thickBot="1" x14ac:dyDescent="0.3">
      <c r="A7" s="890" t="s">
        <v>1585</v>
      </c>
      <c r="B7" s="891"/>
      <c r="C7" s="891"/>
      <c r="D7" s="891"/>
      <c r="E7" s="824"/>
      <c r="F7" s="824"/>
      <c r="G7" s="790"/>
    </row>
    <row r="8" spans="1:11" ht="18.5" thickBot="1" x14ac:dyDescent="0.45">
      <c r="A8" s="825" t="s">
        <v>1586</v>
      </c>
      <c r="B8" s="826">
        <v>4</v>
      </c>
      <c r="C8" s="827" t="s">
        <v>1583</v>
      </c>
      <c r="D8" s="828"/>
      <c r="E8" s="826">
        <v>4</v>
      </c>
      <c r="F8" s="827" t="s">
        <v>1547</v>
      </c>
      <c r="G8" s="790"/>
    </row>
    <row r="9" spans="1:11" ht="18" x14ac:dyDescent="0.4">
      <c r="A9" s="829" t="s">
        <v>1587</v>
      </c>
      <c r="B9" s="830">
        <f>0.11*B8</f>
        <v>0.44</v>
      </c>
      <c r="C9" s="831" t="s">
        <v>1583</v>
      </c>
      <c r="D9" s="828"/>
      <c r="E9" s="830">
        <f>0.11*E8</f>
        <v>0.44</v>
      </c>
      <c r="F9" s="831" t="s">
        <v>1547</v>
      </c>
      <c r="G9" s="790"/>
    </row>
    <row r="10" spans="1:11" ht="18" x14ac:dyDescent="0.4">
      <c r="A10" s="829" t="s">
        <v>1588</v>
      </c>
      <c r="B10" s="832">
        <f>A5/(B8*2*PI())</f>
        <v>1369.6483050180236</v>
      </c>
      <c r="C10" s="831" t="s">
        <v>668</v>
      </c>
      <c r="D10" s="828"/>
      <c r="E10" s="833">
        <f>A2/(E8*2*PI())</f>
        <v>540.3628127087245</v>
      </c>
      <c r="F10" s="831" t="s">
        <v>668</v>
      </c>
      <c r="G10" s="790"/>
    </row>
    <row r="11" spans="1:11" ht="15.5" x14ac:dyDescent="0.35">
      <c r="A11" s="834"/>
      <c r="B11" s="834"/>
      <c r="C11" s="835"/>
      <c r="D11" s="790"/>
      <c r="E11" s="790"/>
      <c r="F11" s="790"/>
      <c r="G11" s="790"/>
    </row>
    <row r="12" spans="1:11" ht="15.5" x14ac:dyDescent="0.35">
      <c r="A12" s="836" t="s">
        <v>1589</v>
      </c>
      <c r="B12" s="836"/>
      <c r="C12" s="836"/>
      <c r="D12" s="824"/>
      <c r="E12" s="790"/>
      <c r="F12" s="790"/>
      <c r="G12" s="790"/>
    </row>
    <row r="13" spans="1:11" ht="16" thickBot="1" x14ac:dyDescent="0.4">
      <c r="A13" s="837"/>
      <c r="B13" s="838"/>
      <c r="C13" s="829" t="s">
        <v>1590</v>
      </c>
      <c r="D13" s="790"/>
      <c r="E13" s="790"/>
      <c r="F13" s="790"/>
      <c r="G13" s="790"/>
    </row>
    <row r="14" spans="1:11" ht="18.5" thickBot="1" x14ac:dyDescent="0.45">
      <c r="A14" s="839" t="s">
        <v>1591</v>
      </c>
      <c r="B14" s="826">
        <v>15</v>
      </c>
      <c r="C14" s="840">
        <f>A5/(2*B14)</f>
        <v>1147.4338808123562</v>
      </c>
      <c r="D14" s="790"/>
      <c r="E14" s="790"/>
      <c r="F14" s="790"/>
      <c r="G14" s="790"/>
    </row>
    <row r="15" spans="1:11" ht="18.5" thickBot="1" x14ac:dyDescent="0.45">
      <c r="A15" s="839" t="s">
        <v>1592</v>
      </c>
      <c r="B15" s="792">
        <v>700</v>
      </c>
      <c r="C15" s="840">
        <f>A5/(2*B15)</f>
        <v>24.587868874550487</v>
      </c>
      <c r="D15" s="819" t="s">
        <v>1583</v>
      </c>
      <c r="E15" s="790"/>
      <c r="F15" s="790"/>
      <c r="G15" s="790"/>
    </row>
    <row r="16" spans="1:11" ht="18" thickBot="1" x14ac:dyDescent="0.4">
      <c r="A16" s="790"/>
      <c r="B16" s="841"/>
      <c r="C16" s="790"/>
      <c r="D16" s="790"/>
      <c r="E16" s="790"/>
      <c r="F16" s="790"/>
      <c r="G16" s="790"/>
    </row>
    <row r="17" spans="1:7" ht="18.5" thickBot="1" x14ac:dyDescent="0.45">
      <c r="A17" s="839" t="s">
        <v>1593</v>
      </c>
      <c r="B17" s="842">
        <v>15</v>
      </c>
      <c r="C17" s="843">
        <f>A2/(2*B17)</f>
        <v>452.69329138102569</v>
      </c>
      <c r="D17" s="790"/>
      <c r="E17" s="790"/>
      <c r="F17" s="790"/>
      <c r="G17" s="790"/>
    </row>
    <row r="18" spans="1:7" ht="18.5" thickBot="1" x14ac:dyDescent="0.45">
      <c r="A18" s="839" t="s">
        <v>1592</v>
      </c>
      <c r="B18" s="826">
        <v>700</v>
      </c>
      <c r="C18" s="840">
        <f>A2/(2*B18)</f>
        <v>9.7005705295934064</v>
      </c>
      <c r="D18" s="819" t="s">
        <v>1547</v>
      </c>
      <c r="E18" s="790"/>
      <c r="F18" s="790"/>
      <c r="G18" s="790"/>
    </row>
    <row r="19" spans="1:7" x14ac:dyDescent="0.25">
      <c r="A19" s="790"/>
      <c r="B19" s="790"/>
      <c r="C19" s="790"/>
      <c r="D19" s="790"/>
      <c r="E19" s="790"/>
      <c r="F19" s="790"/>
      <c r="G19" s="790"/>
    </row>
    <row r="20" spans="1:7" x14ac:dyDescent="0.25">
      <c r="A20" s="790"/>
      <c r="B20" s="790"/>
      <c r="C20" s="790"/>
      <c r="D20" s="790"/>
      <c r="E20" s="790"/>
      <c r="F20" s="790"/>
      <c r="G20" s="790"/>
    </row>
  </sheetData>
  <mergeCells count="1">
    <mergeCell ref="A7:D7"/>
  </mergeCell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I212"/>
  <sheetViews>
    <sheetView zoomScaleNormal="100" workbookViewId="0">
      <selection activeCell="C25" sqref="C25"/>
    </sheetView>
  </sheetViews>
  <sheetFormatPr defaultColWidth="8.90625" defaultRowHeight="12.5" x14ac:dyDescent="0.25"/>
  <cols>
    <col min="1" max="1" width="42.36328125" style="204" customWidth="1"/>
    <col min="2" max="3" width="17.6328125" style="204" customWidth="1"/>
    <col min="4" max="4" width="17.90625" style="204" customWidth="1"/>
    <col min="5" max="5" width="18.36328125" style="204" customWidth="1"/>
    <col min="6" max="6" width="18.453125" style="204" customWidth="1"/>
    <col min="7" max="7" width="33" style="204" customWidth="1"/>
    <col min="8" max="8" width="12.90625" style="204" bestFit="1" customWidth="1"/>
    <col min="9" max="9" width="24.36328125" style="204" bestFit="1" customWidth="1"/>
    <col min="10" max="10" width="15.08984375" style="204" bestFit="1" customWidth="1"/>
    <col min="11" max="11" width="17.90625" style="204" bestFit="1" customWidth="1"/>
    <col min="12" max="12" width="12.90625" style="204" bestFit="1" customWidth="1"/>
    <col min="13" max="13" width="24.36328125" style="204" bestFit="1" customWidth="1"/>
    <col min="14" max="16" width="10.08984375" style="204" bestFit="1" customWidth="1"/>
    <col min="17" max="18" width="10.453125" style="204" bestFit="1" customWidth="1"/>
    <col min="19" max="22" width="11.08984375" style="204" bestFit="1" customWidth="1"/>
    <col min="23" max="23" width="12.08984375" style="204" bestFit="1" customWidth="1"/>
    <col min="24" max="24" width="11.08984375" style="204" bestFit="1" customWidth="1"/>
    <col min="25" max="25" width="12.08984375" style="204" bestFit="1" customWidth="1"/>
    <col min="26" max="26" width="12.453125" style="204" bestFit="1" customWidth="1"/>
    <col min="27" max="29" width="11.453125" style="204" bestFit="1" customWidth="1"/>
    <col min="30" max="33" width="10.90625" style="204" bestFit="1" customWidth="1"/>
    <col min="34" max="35" width="10.6328125" style="204" bestFit="1" customWidth="1"/>
    <col min="36" max="61" width="11.6328125" style="204" bestFit="1" customWidth="1"/>
    <col min="62" max="16384" width="8.90625" style="204"/>
  </cols>
  <sheetData>
    <row r="1" spans="1:59" ht="13" thickTop="1" x14ac:dyDescent="0.25">
      <c r="J1" s="892" t="s">
        <v>752</v>
      </c>
      <c r="K1" s="893"/>
    </row>
    <row r="2" spans="1:59" ht="18" x14ac:dyDescent="0.4">
      <c r="A2" s="910" t="s">
        <v>1611</v>
      </c>
      <c r="B2" s="911"/>
      <c r="C2" s="911"/>
      <c r="J2" s="894"/>
      <c r="K2" s="895"/>
    </row>
    <row r="3" spans="1:59" ht="13" x14ac:dyDescent="0.3">
      <c r="A3" s="205"/>
      <c r="J3" s="894"/>
      <c r="K3" s="895"/>
    </row>
    <row r="4" spans="1:59" ht="20" x14ac:dyDescent="0.4">
      <c r="A4" s="206" t="s">
        <v>31</v>
      </c>
      <c r="B4" s="207"/>
      <c r="C4" s="207"/>
      <c r="D4" s="207"/>
      <c r="E4" s="207"/>
      <c r="F4" s="207"/>
      <c r="G4" s="207"/>
      <c r="H4" s="207"/>
      <c r="J4" s="894"/>
      <c r="K4" s="895"/>
    </row>
    <row r="5" spans="1:59" ht="13" thickBot="1" x14ac:dyDescent="0.3">
      <c r="A5" s="208"/>
      <c r="J5" s="896"/>
      <c r="K5" s="897"/>
    </row>
    <row r="6" spans="1:59" ht="13.5" thickTop="1" x14ac:dyDescent="0.3">
      <c r="A6" s="208"/>
      <c r="G6" s="912" t="s">
        <v>421</v>
      </c>
      <c r="H6" s="912"/>
      <c r="I6" s="912"/>
    </row>
    <row r="7" spans="1:59" ht="13.5" thickBot="1" x14ac:dyDescent="0.35">
      <c r="A7" s="208"/>
      <c r="G7" s="315"/>
      <c r="H7" s="555" t="s">
        <v>86</v>
      </c>
      <c r="I7" s="399" t="s">
        <v>582</v>
      </c>
      <c r="J7" s="315"/>
      <c r="K7" s="555" t="s">
        <v>86</v>
      </c>
    </row>
    <row r="8" spans="1:59" ht="15" x14ac:dyDescent="0.3">
      <c r="A8" s="208"/>
      <c r="E8" s="210"/>
      <c r="F8" s="210"/>
      <c r="G8" s="399" t="s">
        <v>54</v>
      </c>
      <c r="H8" s="212" t="s">
        <v>30</v>
      </c>
      <c r="I8" s="213">
        <v>16</v>
      </c>
      <c r="J8" s="214">
        <f>I8*0.0393700787401574</f>
        <v>0.62992125984251846</v>
      </c>
      <c r="K8" s="212" t="s">
        <v>37</v>
      </c>
      <c r="M8" s="215" t="s">
        <v>456</v>
      </c>
      <c r="N8" s="216" t="s">
        <v>835</v>
      </c>
      <c r="O8" s="216" t="s">
        <v>836</v>
      </c>
      <c r="P8" s="216" t="s">
        <v>837</v>
      </c>
      <c r="Q8" s="216" t="s">
        <v>838</v>
      </c>
      <c r="R8" s="216" t="s">
        <v>839</v>
      </c>
      <c r="S8" s="216" t="s">
        <v>840</v>
      </c>
      <c r="T8" s="216" t="s">
        <v>841</v>
      </c>
      <c r="U8" s="216" t="s">
        <v>842</v>
      </c>
      <c r="V8" s="216" t="s">
        <v>843</v>
      </c>
      <c r="W8" s="216" t="s">
        <v>844</v>
      </c>
      <c r="X8" s="216" t="s">
        <v>845</v>
      </c>
      <c r="Y8" s="217" t="s">
        <v>846</v>
      </c>
      <c r="Z8" s="218"/>
      <c r="AA8" s="218"/>
      <c r="AB8" s="218"/>
      <c r="AC8" s="218"/>
      <c r="AD8" s="218"/>
      <c r="AE8" s="218"/>
      <c r="AF8" s="218"/>
      <c r="AG8" s="218"/>
      <c r="AH8" s="218"/>
      <c r="AI8" s="218"/>
      <c r="AJ8" s="218"/>
      <c r="AK8" s="218"/>
      <c r="AL8" s="218"/>
      <c r="AM8" s="218"/>
      <c r="AN8" s="218"/>
      <c r="AO8" s="218"/>
      <c r="AP8" s="218"/>
      <c r="AQ8" s="218"/>
      <c r="AR8" s="218"/>
      <c r="AS8" s="218"/>
      <c r="AT8" s="218"/>
      <c r="AU8" s="218"/>
      <c r="AV8" s="218"/>
      <c r="AW8" s="218"/>
      <c r="AX8" s="218"/>
      <c r="AY8" s="218"/>
      <c r="AZ8" s="218"/>
      <c r="BA8" s="218"/>
      <c r="BB8" s="218"/>
      <c r="BC8" s="218"/>
      <c r="BD8" s="218"/>
      <c r="BE8" s="218"/>
      <c r="BF8" s="218"/>
      <c r="BG8" s="218"/>
    </row>
    <row r="9" spans="1:59" ht="13" x14ac:dyDescent="0.3">
      <c r="A9" s="205"/>
      <c r="E9" s="218"/>
      <c r="F9" s="218"/>
      <c r="G9" s="556" t="s">
        <v>55</v>
      </c>
      <c r="H9" s="219">
        <v>827.17</v>
      </c>
      <c r="I9" s="220">
        <f t="shared" ref="I9:I17" si="0">$H9*I$8/1000</f>
        <v>13.234719999999999</v>
      </c>
      <c r="J9" s="221">
        <f>I9*0.2048161435</f>
        <v>2.71068431070232</v>
      </c>
      <c r="K9" s="557">
        <f>(H9*(2.20462262184877))/35.3146667214885</f>
        <v>51.638536149769529</v>
      </c>
      <c r="M9" s="222" t="s">
        <v>457</v>
      </c>
      <c r="N9" s="223" t="s">
        <v>560</v>
      </c>
      <c r="O9" s="223" t="s">
        <v>561</v>
      </c>
      <c r="P9" s="223" t="s">
        <v>459</v>
      </c>
      <c r="Q9" s="223" t="s">
        <v>562</v>
      </c>
      <c r="R9" s="223" t="s">
        <v>563</v>
      </c>
      <c r="S9" s="223" t="s">
        <v>564</v>
      </c>
      <c r="T9" s="223" t="s">
        <v>458</v>
      </c>
      <c r="U9" s="223" t="s">
        <v>565</v>
      </c>
      <c r="V9" s="223" t="s">
        <v>460</v>
      </c>
      <c r="W9" s="223" t="s">
        <v>566</v>
      </c>
      <c r="X9" s="223" t="s">
        <v>462</v>
      </c>
      <c r="Y9" s="224" t="s">
        <v>461</v>
      </c>
      <c r="Z9" s="225"/>
      <c r="AA9" s="225"/>
      <c r="AB9" s="225"/>
      <c r="AC9" s="225"/>
      <c r="AD9" s="225"/>
      <c r="AE9" s="225"/>
      <c r="AF9" s="225"/>
      <c r="AG9" s="225"/>
      <c r="AH9" s="225"/>
      <c r="AI9" s="225"/>
      <c r="AJ9" s="225"/>
      <c r="AK9" s="225"/>
      <c r="AL9" s="225"/>
      <c r="AM9" s="225"/>
      <c r="AN9" s="225"/>
      <c r="AO9" s="225"/>
      <c r="AP9" s="225"/>
      <c r="AQ9" s="225"/>
      <c r="AR9" s="225"/>
      <c r="AS9" s="225"/>
      <c r="AT9" s="225"/>
      <c r="AU9" s="225"/>
      <c r="AV9" s="225"/>
      <c r="AW9" s="225"/>
      <c r="AX9" s="225"/>
      <c r="AY9" s="225"/>
      <c r="AZ9" s="225"/>
      <c r="BA9" s="225"/>
      <c r="BB9" s="225"/>
      <c r="BC9" s="225"/>
      <c r="BD9" s="225"/>
      <c r="BE9" s="225"/>
      <c r="BF9" s="225"/>
      <c r="BG9" s="225"/>
    </row>
    <row r="10" spans="1:59" x14ac:dyDescent="0.25">
      <c r="A10" s="208"/>
      <c r="E10" s="218"/>
      <c r="F10" s="218"/>
      <c r="G10" s="612" t="s">
        <v>1147</v>
      </c>
      <c r="H10" s="226">
        <v>756.48</v>
      </c>
      <c r="I10" s="227">
        <f t="shared" si="0"/>
        <v>12.103680000000001</v>
      </c>
      <c r="J10" s="228">
        <f t="shared" ref="J10:J17" si="1">I10*0.2048161435</f>
        <v>2.47902905975808</v>
      </c>
      <c r="K10" s="559">
        <f t="shared" ref="K10:K17" si="2">(H10*(2.20462262184877))/35.3146667214885</f>
        <v>47.225503616641866</v>
      </c>
      <c r="M10" s="222" t="s">
        <v>463</v>
      </c>
      <c r="N10" s="223">
        <v>150</v>
      </c>
      <c r="O10" s="223">
        <v>190</v>
      </c>
      <c r="P10" s="223">
        <v>220</v>
      </c>
      <c r="Q10" s="223">
        <v>270</v>
      </c>
      <c r="R10" s="223">
        <v>300</v>
      </c>
      <c r="S10" s="223">
        <v>400</v>
      </c>
      <c r="T10" s="223">
        <v>510</v>
      </c>
      <c r="U10" s="223">
        <v>570</v>
      </c>
      <c r="V10" s="223">
        <v>680</v>
      </c>
      <c r="W10" s="223">
        <v>740</v>
      </c>
      <c r="X10" s="223">
        <v>810</v>
      </c>
      <c r="Y10" s="224">
        <v>990</v>
      </c>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row>
    <row r="11" spans="1:59" ht="13" x14ac:dyDescent="0.3">
      <c r="A11" s="229" t="s">
        <v>57</v>
      </c>
      <c r="E11" s="218"/>
      <c r="F11" s="218"/>
      <c r="G11" s="560" t="s">
        <v>58</v>
      </c>
      <c r="H11" s="230">
        <v>503.5</v>
      </c>
      <c r="I11" s="231">
        <f t="shared" si="0"/>
        <v>8.0559999999999992</v>
      </c>
      <c r="J11" s="232">
        <f t="shared" si="1"/>
        <v>1.6499988520359998</v>
      </c>
      <c r="K11" s="561">
        <f t="shared" si="2"/>
        <v>31.432478150088809</v>
      </c>
      <c r="M11" s="222" t="s">
        <v>464</v>
      </c>
      <c r="N11" s="223">
        <v>1.0999999999999999E-2</v>
      </c>
      <c r="O11" s="223">
        <v>1.7999999999999999E-2</v>
      </c>
      <c r="P11" s="223">
        <v>2.8000000000000001E-2</v>
      </c>
      <c r="Q11" s="223">
        <v>4.2000000000000003E-2</v>
      </c>
      <c r="R11" s="223">
        <v>5.5E-2</v>
      </c>
      <c r="S11" s="223">
        <v>0.11</v>
      </c>
      <c r="T11" s="223">
        <v>0.22</v>
      </c>
      <c r="U11" s="223">
        <v>0.3</v>
      </c>
      <c r="V11" s="223">
        <v>0.45</v>
      </c>
      <c r="W11" s="223">
        <v>0.6</v>
      </c>
      <c r="X11" s="223">
        <v>0.85</v>
      </c>
      <c r="Y11" s="224">
        <v>2.5</v>
      </c>
      <c r="Z11" s="225"/>
      <c r="AA11" s="225"/>
      <c r="AB11" s="225"/>
      <c r="AC11" s="225"/>
      <c r="AD11" s="225"/>
      <c r="AE11" s="225"/>
      <c r="AF11" s="225"/>
      <c r="AG11" s="225"/>
      <c r="AH11" s="225"/>
      <c r="AI11" s="225"/>
      <c r="AJ11" s="225"/>
      <c r="AK11" s="225"/>
      <c r="AL11" s="225"/>
      <c r="AM11" s="225"/>
      <c r="AN11" s="225"/>
      <c r="AO11" s="225"/>
      <c r="AP11" s="225"/>
      <c r="AQ11" s="225"/>
      <c r="AR11" s="225"/>
      <c r="AS11" s="225"/>
      <c r="AT11" s="225"/>
      <c r="AU11" s="225"/>
      <c r="AV11" s="225"/>
      <c r="AW11" s="225"/>
      <c r="AX11" s="225"/>
      <c r="AY11" s="225"/>
      <c r="AZ11" s="225"/>
      <c r="BA11" s="225"/>
      <c r="BB11" s="225"/>
      <c r="BC11" s="225"/>
      <c r="BD11" s="225"/>
      <c r="BE11" s="225"/>
      <c r="BF11" s="225"/>
      <c r="BG11" s="225"/>
    </row>
    <row r="12" spans="1:59" ht="13" x14ac:dyDescent="0.3">
      <c r="A12" s="233" t="s">
        <v>59</v>
      </c>
      <c r="B12" s="234" t="s">
        <v>94</v>
      </c>
      <c r="C12" s="234"/>
      <c r="D12" s="234"/>
      <c r="E12" s="235"/>
      <c r="F12" s="218"/>
      <c r="G12" s="562" t="s">
        <v>60</v>
      </c>
      <c r="H12" s="236">
        <v>503.5</v>
      </c>
      <c r="I12" s="237">
        <f t="shared" si="0"/>
        <v>8.0559999999999992</v>
      </c>
      <c r="J12" s="238">
        <f t="shared" si="1"/>
        <v>1.6499988520359998</v>
      </c>
      <c r="K12" s="563">
        <f t="shared" si="2"/>
        <v>31.432478150088809</v>
      </c>
      <c r="M12" s="222" t="s">
        <v>581</v>
      </c>
      <c r="N12" s="898" t="s">
        <v>567</v>
      </c>
      <c r="O12" s="899"/>
      <c r="P12" s="899"/>
      <c r="Q12" s="899"/>
      <c r="R12" s="899"/>
      <c r="S12" s="899"/>
      <c r="T12" s="899"/>
      <c r="U12" s="899"/>
      <c r="V12" s="899"/>
      <c r="W12" s="899"/>
      <c r="X12" s="899"/>
      <c r="Y12" s="900"/>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row>
    <row r="13" spans="1:59" x14ac:dyDescent="0.25">
      <c r="A13" s="239" t="s">
        <v>61</v>
      </c>
      <c r="B13" s="204" t="s">
        <v>62</v>
      </c>
      <c r="E13" s="218"/>
      <c r="F13" s="218"/>
      <c r="G13" s="609" t="s">
        <v>1144</v>
      </c>
      <c r="H13" s="240">
        <v>620</v>
      </c>
      <c r="I13" s="241">
        <f t="shared" si="0"/>
        <v>9.92</v>
      </c>
      <c r="J13" s="242">
        <f t="shared" si="1"/>
        <v>2.0317761435199997</v>
      </c>
      <c r="K13" s="565">
        <f t="shared" si="2"/>
        <v>38.705335557209658</v>
      </c>
      <c r="M13" s="222">
        <v>1</v>
      </c>
      <c r="N13" s="243">
        <f>N11*101971.621</f>
        <v>1121.687831</v>
      </c>
      <c r="O13" s="243">
        <f t="shared" ref="O13" si="3">O11*101971.621</f>
        <v>1835.4891779999998</v>
      </c>
      <c r="P13" s="243">
        <f>P11*101971.621</f>
        <v>2855.2053879999999</v>
      </c>
      <c r="Q13" s="243">
        <f>Q11*101971.621</f>
        <v>4282.8080820000005</v>
      </c>
      <c r="R13" s="243">
        <f>R11*101971.621</f>
        <v>5608.439155</v>
      </c>
      <c r="S13" s="243">
        <f>S11*101971.621</f>
        <v>11216.87831</v>
      </c>
      <c r="T13" s="243">
        <f>T11*101971.621</f>
        <v>22433.75662</v>
      </c>
      <c r="U13" s="243">
        <f t="shared" ref="U13:Y13" si="4">U11*101971.621</f>
        <v>30591.486299999997</v>
      </c>
      <c r="V13" s="243">
        <f t="shared" si="4"/>
        <v>45887.229449999999</v>
      </c>
      <c r="W13" s="243">
        <f t="shared" si="4"/>
        <v>61182.972599999994</v>
      </c>
      <c r="X13" s="243">
        <f t="shared" si="4"/>
        <v>86675.87784999999</v>
      </c>
      <c r="Y13" s="244">
        <f t="shared" si="4"/>
        <v>254929.05249999999</v>
      </c>
      <c r="Z13" s="225"/>
      <c r="AA13" s="225"/>
      <c r="AB13" s="225"/>
      <c r="AC13" s="225"/>
      <c r="AD13" s="225"/>
      <c r="AE13" s="225"/>
      <c r="AF13" s="225"/>
      <c r="AG13" s="225"/>
      <c r="AH13" s="225"/>
      <c r="AI13" s="225"/>
      <c r="AJ13" s="225"/>
      <c r="AK13" s="225"/>
      <c r="AL13" s="225"/>
      <c r="AM13" s="225"/>
      <c r="AN13" s="225"/>
      <c r="AO13" s="225"/>
      <c r="AP13" s="225"/>
      <c r="AQ13" s="225"/>
      <c r="AR13" s="225"/>
      <c r="AS13" s="225"/>
      <c r="AT13" s="225"/>
      <c r="AU13" s="225"/>
      <c r="AV13" s="225"/>
      <c r="AW13" s="225"/>
      <c r="AX13" s="225"/>
      <c r="AY13" s="225"/>
      <c r="AZ13" s="225"/>
      <c r="BA13" s="225"/>
      <c r="BB13" s="225"/>
      <c r="BC13" s="225"/>
      <c r="BD13" s="225"/>
      <c r="BE13" s="225"/>
      <c r="BF13" s="225"/>
      <c r="BG13" s="225"/>
    </row>
    <row r="14" spans="1:59" x14ac:dyDescent="0.25">
      <c r="A14" s="245" t="s">
        <v>95</v>
      </c>
      <c r="B14" s="246" t="s">
        <v>88</v>
      </c>
      <c r="E14" s="218"/>
      <c r="F14" s="218"/>
      <c r="G14" s="576" t="s">
        <v>1143</v>
      </c>
      <c r="H14" s="247">
        <v>583</v>
      </c>
      <c r="I14" s="248">
        <f t="shared" si="0"/>
        <v>9.3279999999999994</v>
      </c>
      <c r="J14" s="249">
        <f t="shared" si="1"/>
        <v>1.9105249865679998</v>
      </c>
      <c r="K14" s="567">
        <f t="shared" si="2"/>
        <v>36.3955010158923</v>
      </c>
      <c r="M14" s="222">
        <v>0.75</v>
      </c>
      <c r="N14" s="243">
        <f>$N$13*(M14*M14)</f>
        <v>630.94940493749993</v>
      </c>
      <c r="O14" s="243">
        <f>$O$13*(M14*M14)</f>
        <v>1032.4626626249999</v>
      </c>
      <c r="P14" s="243">
        <f>$P$13*(M14*M14)</f>
        <v>1606.0530307499998</v>
      </c>
      <c r="Q14" s="243">
        <f>$Q$13*(M14*M14)</f>
        <v>2409.0795461250004</v>
      </c>
      <c r="R14" s="243">
        <f>$R$13*(M14*M14)</f>
        <v>3154.7470246875</v>
      </c>
      <c r="S14" s="243">
        <f>$S$13*(M14*M14)</f>
        <v>6309.494049375</v>
      </c>
      <c r="T14" s="243">
        <f>$T$13*(M14*M14)</f>
        <v>12618.98809875</v>
      </c>
      <c r="U14" s="243">
        <f>$U$13*(M14*M14)</f>
        <v>17207.711043749998</v>
      </c>
      <c r="V14" s="243">
        <f>$V$13*(M14*M14)</f>
        <v>25811.566565624998</v>
      </c>
      <c r="W14" s="243">
        <f>$W$13*(M14*M14)</f>
        <v>34415.422087499996</v>
      </c>
      <c r="X14" s="243">
        <f>$X$13*(M14*M14)</f>
        <v>48755.181290624998</v>
      </c>
      <c r="Y14" s="244">
        <f>$Y$13*(M14*M14)</f>
        <v>143397.59203125001</v>
      </c>
      <c r="Z14" s="225"/>
      <c r="AA14" s="225"/>
      <c r="AB14" s="225"/>
      <c r="AC14" s="225"/>
      <c r="AD14" s="225"/>
      <c r="AE14" s="225"/>
      <c r="AF14" s="225"/>
      <c r="AG14" s="225"/>
      <c r="AH14" s="225"/>
      <c r="AI14" s="225"/>
      <c r="AJ14" s="225"/>
      <c r="AK14" s="225"/>
      <c r="AL14" s="225"/>
      <c r="AM14" s="225"/>
      <c r="AN14" s="225"/>
      <c r="AO14" s="225"/>
      <c r="AP14" s="225"/>
      <c r="AQ14" s="225"/>
      <c r="AR14" s="225"/>
      <c r="AS14" s="225"/>
      <c r="AT14" s="225"/>
      <c r="AU14" s="225"/>
      <c r="AV14" s="225"/>
      <c r="AW14" s="225"/>
      <c r="AX14" s="225"/>
      <c r="AY14" s="225"/>
      <c r="AZ14" s="225"/>
      <c r="BA14" s="225"/>
      <c r="BB14" s="225"/>
      <c r="BC14" s="225"/>
      <c r="BD14" s="225"/>
      <c r="BE14" s="225"/>
      <c r="BF14" s="225"/>
      <c r="BG14" s="225"/>
    </row>
    <row r="15" spans="1:59" ht="13" x14ac:dyDescent="0.3">
      <c r="A15" s="229"/>
      <c r="B15" s="234"/>
      <c r="C15" s="234"/>
      <c r="D15" s="234"/>
      <c r="E15" s="235"/>
      <c r="F15" s="218"/>
      <c r="G15" s="568" t="s">
        <v>65</v>
      </c>
      <c r="H15" s="250">
        <v>1050</v>
      </c>
      <c r="I15" s="251">
        <f t="shared" si="0"/>
        <v>16.8</v>
      </c>
      <c r="J15" s="252">
        <f t="shared" si="1"/>
        <v>3.4409112108</v>
      </c>
      <c r="K15" s="569">
        <f t="shared" si="2"/>
        <v>65.549358604951834</v>
      </c>
      <c r="M15" s="222">
        <v>0.6</v>
      </c>
      <c r="N15" s="243">
        <f t="shared" ref="N15:N24" si="5">$N$13*(M15*M15)</f>
        <v>403.80761915999994</v>
      </c>
      <c r="O15" s="243">
        <f t="shared" ref="O15:O24" si="6">$O$13*(M15*M15)</f>
        <v>660.77610407999987</v>
      </c>
      <c r="P15" s="243">
        <f t="shared" ref="P15:P24" si="7">$P$13*(M15*M15)</f>
        <v>1027.8739396799999</v>
      </c>
      <c r="Q15" s="243">
        <f t="shared" ref="Q15:Q24" si="8">$Q$13*(M15*M15)</f>
        <v>1541.8109095200002</v>
      </c>
      <c r="R15" s="243">
        <f t="shared" ref="R15:R24" si="9">$R$13*(M15*M15)</f>
        <v>2019.0380957999998</v>
      </c>
      <c r="S15" s="243">
        <f t="shared" ref="S15:S24" si="10">$S$13*(M15*M15)</f>
        <v>4038.0761915999997</v>
      </c>
      <c r="T15" s="243">
        <f t="shared" ref="T15:T24" si="11">$T$13*(M15*M15)</f>
        <v>8076.1523831999993</v>
      </c>
      <c r="U15" s="243">
        <f t="shared" ref="U15:U24" si="12">$U$13*(M15*M15)</f>
        <v>11012.935067999999</v>
      </c>
      <c r="V15" s="243">
        <f t="shared" ref="V15:V24" si="13">$V$13*(M15*M15)</f>
        <v>16519.402601999998</v>
      </c>
      <c r="W15" s="243">
        <f t="shared" ref="W15:W24" si="14">$W$13*(M15*M15)</f>
        <v>22025.870135999998</v>
      </c>
      <c r="X15" s="243">
        <f t="shared" ref="X15:X24" si="15">$X$13*(M15*M15)</f>
        <v>31203.316025999997</v>
      </c>
      <c r="Y15" s="244">
        <f t="shared" ref="Y15:Y24" si="16">$Y$13*(M15*M15)</f>
        <v>91774.458899999998</v>
      </c>
      <c r="Z15" s="225"/>
      <c r="AA15" s="225"/>
      <c r="AB15" s="225"/>
      <c r="AC15" s="225"/>
      <c r="AD15" s="225"/>
      <c r="AE15" s="225"/>
      <c r="AF15" s="225"/>
      <c r="AG15" s="225"/>
      <c r="AH15" s="225"/>
      <c r="AI15" s="225"/>
      <c r="AJ15" s="225"/>
      <c r="AK15" s="225"/>
      <c r="AL15" s="225"/>
      <c r="AM15" s="225"/>
      <c r="AN15" s="225"/>
      <c r="AO15" s="225"/>
      <c r="AP15" s="225"/>
      <c r="AQ15" s="225"/>
      <c r="AR15" s="225"/>
      <c r="AS15" s="225"/>
      <c r="AT15" s="225"/>
      <c r="AU15" s="225"/>
      <c r="AV15" s="225"/>
      <c r="AW15" s="225"/>
      <c r="AX15" s="225"/>
      <c r="AY15" s="225"/>
      <c r="AZ15" s="225"/>
      <c r="BA15" s="225"/>
      <c r="BB15" s="225"/>
      <c r="BC15" s="225"/>
      <c r="BD15" s="225"/>
      <c r="BE15" s="225"/>
      <c r="BF15" s="225"/>
      <c r="BG15" s="225"/>
    </row>
    <row r="16" spans="1:59" ht="13" x14ac:dyDescent="0.3">
      <c r="A16" s="253" t="s">
        <v>847</v>
      </c>
      <c r="E16" s="218"/>
      <c r="G16" s="570" t="s">
        <v>66</v>
      </c>
      <c r="H16" s="254">
        <v>800</v>
      </c>
      <c r="I16" s="255">
        <f t="shared" si="0"/>
        <v>12.8</v>
      </c>
      <c r="J16" s="256">
        <f t="shared" si="1"/>
        <v>2.6216466368</v>
      </c>
      <c r="K16" s="571">
        <f t="shared" si="2"/>
        <v>49.942368460915681</v>
      </c>
      <c r="M16" s="222">
        <v>0.5</v>
      </c>
      <c r="N16" s="243">
        <f t="shared" si="5"/>
        <v>280.42195774999999</v>
      </c>
      <c r="O16" s="243">
        <f t="shared" si="6"/>
        <v>458.87229449999995</v>
      </c>
      <c r="P16" s="243">
        <f t="shared" si="7"/>
        <v>713.80134699999996</v>
      </c>
      <c r="Q16" s="243">
        <f t="shared" si="8"/>
        <v>1070.7020205000001</v>
      </c>
      <c r="R16" s="243">
        <f t="shared" si="9"/>
        <v>1402.10978875</v>
      </c>
      <c r="S16" s="243">
        <f t="shared" si="10"/>
        <v>2804.2195775</v>
      </c>
      <c r="T16" s="243">
        <f t="shared" si="11"/>
        <v>5608.439155</v>
      </c>
      <c r="U16" s="243">
        <f t="shared" si="12"/>
        <v>7647.8715749999992</v>
      </c>
      <c r="V16" s="243">
        <f t="shared" si="13"/>
        <v>11471.8073625</v>
      </c>
      <c r="W16" s="243">
        <f t="shared" si="14"/>
        <v>15295.743149999998</v>
      </c>
      <c r="X16" s="243">
        <f t="shared" si="15"/>
        <v>21668.969462499997</v>
      </c>
      <c r="Y16" s="244">
        <f t="shared" si="16"/>
        <v>63732.263124999998</v>
      </c>
      <c r="Z16" s="225"/>
      <c r="AA16" s="225"/>
      <c r="AB16" s="225"/>
      <c r="AC16" s="225"/>
      <c r="AD16" s="225"/>
      <c r="AE16" s="225"/>
      <c r="AF16" s="225"/>
      <c r="AG16" s="225"/>
      <c r="AH16" s="225"/>
      <c r="AI16" s="225"/>
      <c r="AJ16" s="225"/>
      <c r="AK16" s="225"/>
      <c r="AL16" s="225"/>
      <c r="AM16" s="225"/>
      <c r="AN16" s="225"/>
      <c r="AO16" s="225"/>
      <c r="AP16" s="225"/>
      <c r="AQ16" s="225"/>
      <c r="AR16" s="225"/>
      <c r="AS16" s="225"/>
      <c r="AT16" s="225"/>
      <c r="AU16" s="225"/>
      <c r="AV16" s="225"/>
      <c r="AW16" s="225"/>
      <c r="AX16" s="225"/>
      <c r="AY16" s="225"/>
      <c r="AZ16" s="225"/>
      <c r="BA16" s="225"/>
      <c r="BB16" s="225"/>
      <c r="BC16" s="225"/>
      <c r="BD16" s="225"/>
      <c r="BE16" s="225"/>
      <c r="BF16" s="225"/>
      <c r="BG16" s="225"/>
    </row>
    <row r="17" spans="1:59" ht="26.25" customHeight="1" x14ac:dyDescent="0.3">
      <c r="A17" s="257" t="s">
        <v>67</v>
      </c>
      <c r="B17" s="258" t="s">
        <v>96</v>
      </c>
      <c r="E17" s="218"/>
      <c r="G17" s="572" t="s">
        <v>554</v>
      </c>
      <c r="H17" s="259">
        <v>654</v>
      </c>
      <c r="I17" s="260">
        <f t="shared" si="0"/>
        <v>10.464</v>
      </c>
      <c r="J17" s="261">
        <f t="shared" si="1"/>
        <v>2.1431961255840002</v>
      </c>
      <c r="K17" s="573">
        <f t="shared" si="2"/>
        <v>40.827886216798575</v>
      </c>
      <c r="M17" s="222">
        <v>0.4</v>
      </c>
      <c r="N17" s="243">
        <f t="shared" si="5"/>
        <v>179.47005296000003</v>
      </c>
      <c r="O17" s="243">
        <f t="shared" si="6"/>
        <v>293.67826848000004</v>
      </c>
      <c r="P17" s="243">
        <f t="shared" si="7"/>
        <v>456.83286208000004</v>
      </c>
      <c r="Q17" s="243">
        <f t="shared" si="8"/>
        <v>685.24929312000017</v>
      </c>
      <c r="R17" s="243">
        <f t="shared" si="9"/>
        <v>897.35026480000022</v>
      </c>
      <c r="S17" s="243">
        <f t="shared" si="10"/>
        <v>1794.7005296000004</v>
      </c>
      <c r="T17" s="243">
        <f t="shared" si="11"/>
        <v>3589.4010592000009</v>
      </c>
      <c r="U17" s="243">
        <f t="shared" si="12"/>
        <v>4894.6378080000004</v>
      </c>
      <c r="V17" s="243">
        <f t="shared" si="13"/>
        <v>7341.9567120000011</v>
      </c>
      <c r="W17" s="243">
        <f t="shared" si="14"/>
        <v>9789.2756160000008</v>
      </c>
      <c r="X17" s="243">
        <f t="shared" si="15"/>
        <v>13868.140456000001</v>
      </c>
      <c r="Y17" s="244">
        <f t="shared" si="16"/>
        <v>40788.648400000005</v>
      </c>
      <c r="Z17" s="225"/>
      <c r="AA17" s="225"/>
      <c r="AB17" s="225"/>
      <c r="AC17" s="225"/>
      <c r="AD17" s="225"/>
      <c r="AE17" s="225"/>
      <c r="AF17" s="225"/>
      <c r="AG17" s="225"/>
      <c r="AH17" s="225"/>
      <c r="AI17" s="225"/>
      <c r="AJ17" s="225"/>
      <c r="AK17" s="225"/>
      <c r="AL17" s="225"/>
      <c r="AM17" s="225"/>
      <c r="AN17" s="225"/>
      <c r="AO17" s="225"/>
      <c r="AP17" s="225"/>
      <c r="AQ17" s="225"/>
      <c r="AR17" s="225"/>
      <c r="AS17" s="225"/>
      <c r="AT17" s="225"/>
      <c r="AU17" s="225"/>
      <c r="AV17" s="225"/>
      <c r="AW17" s="225"/>
      <c r="AX17" s="225"/>
      <c r="AY17" s="225"/>
      <c r="AZ17" s="225"/>
      <c r="BA17" s="225"/>
      <c r="BB17" s="225"/>
      <c r="BC17" s="225"/>
      <c r="BD17" s="225"/>
      <c r="BE17" s="225"/>
      <c r="BF17" s="225"/>
      <c r="BG17" s="225"/>
    </row>
    <row r="18" spans="1:59" ht="26.25" customHeight="1" x14ac:dyDescent="0.25">
      <c r="A18" s="239" t="s">
        <v>61</v>
      </c>
      <c r="B18" s="204" t="s">
        <v>62</v>
      </c>
      <c r="G18" s="574" t="s">
        <v>555</v>
      </c>
      <c r="H18" s="219">
        <v>676</v>
      </c>
      <c r="I18" s="220">
        <f t="shared" ref="I18:I78" si="17">$H18*I$8/1000</f>
        <v>10.816000000000001</v>
      </c>
      <c r="J18" s="221">
        <f t="shared" ref="J18:J19" si="18">I18*0.2048161435</f>
        <v>2.2152914080960002</v>
      </c>
      <c r="K18" s="557">
        <f t="shared" ref="K18:K19" si="19">(H18*(2.20462262184877))/35.3146667214885</f>
        <v>42.201301349473752</v>
      </c>
      <c r="M18" s="222">
        <v>0.3</v>
      </c>
      <c r="N18" s="243">
        <f t="shared" si="5"/>
        <v>100.95190478999999</v>
      </c>
      <c r="O18" s="243">
        <f t="shared" si="6"/>
        <v>165.19402601999997</v>
      </c>
      <c r="P18" s="243">
        <f t="shared" si="7"/>
        <v>256.96848491999998</v>
      </c>
      <c r="Q18" s="243">
        <f t="shared" si="8"/>
        <v>385.45272738000006</v>
      </c>
      <c r="R18" s="243">
        <f t="shared" si="9"/>
        <v>504.75952394999996</v>
      </c>
      <c r="S18" s="243">
        <f t="shared" si="10"/>
        <v>1009.5190478999999</v>
      </c>
      <c r="T18" s="243">
        <f t="shared" si="11"/>
        <v>2019.0380957999998</v>
      </c>
      <c r="U18" s="243">
        <f t="shared" si="12"/>
        <v>2753.2337669999997</v>
      </c>
      <c r="V18" s="243">
        <f t="shared" si="13"/>
        <v>4129.8506504999996</v>
      </c>
      <c r="W18" s="243">
        <f t="shared" si="14"/>
        <v>5506.4675339999994</v>
      </c>
      <c r="X18" s="243">
        <f t="shared" si="15"/>
        <v>7800.8290064999992</v>
      </c>
      <c r="Y18" s="244">
        <f t="shared" si="16"/>
        <v>22943.614724999999</v>
      </c>
      <c r="Z18" s="225"/>
      <c r="AA18" s="225"/>
      <c r="AB18" s="225"/>
      <c r="AC18" s="225"/>
      <c r="AD18" s="225"/>
      <c r="AE18" s="225"/>
      <c r="AF18" s="225"/>
      <c r="AG18" s="225"/>
      <c r="AH18" s="225"/>
      <c r="AI18" s="225"/>
      <c r="AJ18" s="225"/>
      <c r="AK18" s="225"/>
      <c r="AL18" s="225"/>
      <c r="AM18" s="225"/>
      <c r="AN18" s="225"/>
      <c r="AO18" s="225"/>
      <c r="AP18" s="225"/>
      <c r="AQ18" s="225"/>
      <c r="AR18" s="225"/>
      <c r="AS18" s="225"/>
      <c r="AT18" s="225"/>
      <c r="AU18" s="225"/>
      <c r="AV18" s="225"/>
      <c r="AW18" s="225"/>
      <c r="AX18" s="225"/>
      <c r="AY18" s="225"/>
      <c r="AZ18" s="225"/>
      <c r="BA18" s="225"/>
      <c r="BB18" s="225"/>
      <c r="BC18" s="225"/>
      <c r="BD18" s="225"/>
      <c r="BE18" s="225"/>
      <c r="BF18" s="225"/>
      <c r="BG18" s="225"/>
    </row>
    <row r="19" spans="1:59" ht="26.25" customHeight="1" x14ac:dyDescent="0.25">
      <c r="A19" s="245" t="s">
        <v>95</v>
      </c>
      <c r="B19" s="246" t="s">
        <v>88</v>
      </c>
      <c r="G19" s="575" t="s">
        <v>556</v>
      </c>
      <c r="H19" s="226">
        <v>768</v>
      </c>
      <c r="I19" s="227">
        <f t="shared" si="17"/>
        <v>12.288</v>
      </c>
      <c r="J19" s="228">
        <f t="shared" si="18"/>
        <v>2.5167807713279999</v>
      </c>
      <c r="K19" s="559">
        <f t="shared" si="19"/>
        <v>47.944673722479052</v>
      </c>
      <c r="M19" s="222">
        <v>0.25</v>
      </c>
      <c r="N19" s="243">
        <f t="shared" si="5"/>
        <v>70.105489437499998</v>
      </c>
      <c r="O19" s="243">
        <f t="shared" si="6"/>
        <v>114.71807362499999</v>
      </c>
      <c r="P19" s="243">
        <f t="shared" si="7"/>
        <v>178.45033674999999</v>
      </c>
      <c r="Q19" s="243">
        <f t="shared" si="8"/>
        <v>267.67550512500003</v>
      </c>
      <c r="R19" s="243">
        <f t="shared" si="9"/>
        <v>350.5274471875</v>
      </c>
      <c r="S19" s="243">
        <f t="shared" si="10"/>
        <v>701.054894375</v>
      </c>
      <c r="T19" s="243">
        <f t="shared" si="11"/>
        <v>1402.10978875</v>
      </c>
      <c r="U19" s="243">
        <f t="shared" si="12"/>
        <v>1911.9678937499998</v>
      </c>
      <c r="V19" s="243">
        <f t="shared" si="13"/>
        <v>2867.9518406249999</v>
      </c>
      <c r="W19" s="243">
        <f t="shared" si="14"/>
        <v>3823.9357874999996</v>
      </c>
      <c r="X19" s="243">
        <f t="shared" si="15"/>
        <v>5417.2423656249994</v>
      </c>
      <c r="Y19" s="244">
        <f t="shared" si="16"/>
        <v>15933.065781249999</v>
      </c>
      <c r="Z19" s="225"/>
      <c r="AA19" s="225"/>
      <c r="AB19" s="225"/>
      <c r="AC19" s="225"/>
      <c r="AD19" s="225"/>
      <c r="AE19" s="225"/>
      <c r="AF19" s="225"/>
      <c r="AG19" s="225"/>
      <c r="AH19" s="225"/>
      <c r="AI19" s="225"/>
      <c r="AJ19" s="225"/>
      <c r="AK19" s="225"/>
      <c r="AL19" s="225"/>
      <c r="AM19" s="225"/>
      <c r="AN19" s="225"/>
      <c r="AO19" s="225"/>
      <c r="AP19" s="225"/>
      <c r="AQ19" s="225"/>
      <c r="AR19" s="225"/>
      <c r="AS19" s="225"/>
      <c r="AT19" s="225"/>
      <c r="AU19" s="225"/>
      <c r="AV19" s="225"/>
      <c r="AW19" s="225"/>
      <c r="AX19" s="225"/>
      <c r="AY19" s="225"/>
      <c r="AZ19" s="225"/>
      <c r="BA19" s="225"/>
      <c r="BB19" s="225"/>
      <c r="BC19" s="225"/>
      <c r="BD19" s="225"/>
      <c r="BE19" s="225"/>
      <c r="BF19" s="225"/>
      <c r="BG19" s="225"/>
    </row>
    <row r="20" spans="1:59" ht="13" x14ac:dyDescent="0.3">
      <c r="A20" s="262" t="s">
        <v>72</v>
      </c>
      <c r="E20" s="218"/>
      <c r="F20" s="218"/>
      <c r="G20" s="576" t="s">
        <v>1040</v>
      </c>
      <c r="H20" s="247">
        <v>763.125</v>
      </c>
      <c r="I20" s="248">
        <f t="shared" ref="I20:I51" si="20">$H20*I$8/1000</f>
        <v>12.21</v>
      </c>
      <c r="J20" s="249">
        <f>I20*0.2048161435</f>
        <v>2.5008051121350001</v>
      </c>
      <c r="K20" s="567">
        <f>(H20*(2.20462262184877))/35.3146667214885</f>
        <v>47.640337414670348</v>
      </c>
      <c r="M20" s="222">
        <v>0.2</v>
      </c>
      <c r="N20" s="243">
        <f t="shared" si="5"/>
        <v>44.867513240000008</v>
      </c>
      <c r="O20" s="243">
        <f t="shared" si="6"/>
        <v>73.419567120000011</v>
      </c>
      <c r="P20" s="243">
        <f t="shared" si="7"/>
        <v>114.20821552000001</v>
      </c>
      <c r="Q20" s="243">
        <f t="shared" si="8"/>
        <v>171.31232328000004</v>
      </c>
      <c r="R20" s="243">
        <f t="shared" si="9"/>
        <v>224.33756620000005</v>
      </c>
      <c r="S20" s="243">
        <f t="shared" si="10"/>
        <v>448.67513240000011</v>
      </c>
      <c r="T20" s="243">
        <f t="shared" si="11"/>
        <v>897.35026480000022</v>
      </c>
      <c r="U20" s="243">
        <f t="shared" si="12"/>
        <v>1223.6594520000001</v>
      </c>
      <c r="V20" s="243">
        <f t="shared" si="13"/>
        <v>1835.4891780000003</v>
      </c>
      <c r="W20" s="243">
        <f t="shared" si="14"/>
        <v>2447.3189040000002</v>
      </c>
      <c r="X20" s="243">
        <f t="shared" si="15"/>
        <v>3467.0351140000002</v>
      </c>
      <c r="Y20" s="244">
        <f t="shared" si="16"/>
        <v>10197.162100000001</v>
      </c>
      <c r="Z20" s="225"/>
      <c r="AA20" s="225"/>
      <c r="AB20" s="225"/>
      <c r="AC20" s="225"/>
      <c r="AD20" s="225"/>
      <c r="AE20" s="225"/>
      <c r="AF20" s="225"/>
      <c r="AG20" s="225"/>
      <c r="AH20" s="225"/>
      <c r="AI20" s="225"/>
      <c r="AJ20" s="225"/>
      <c r="AK20" s="225"/>
      <c r="AL20" s="225"/>
      <c r="AM20" s="225"/>
      <c r="AN20" s="225"/>
      <c r="AO20" s="225"/>
      <c r="AP20" s="225"/>
      <c r="AQ20" s="225"/>
      <c r="AR20" s="225"/>
      <c r="AS20" s="225"/>
      <c r="AT20" s="225"/>
      <c r="AU20" s="225"/>
      <c r="AV20" s="225"/>
      <c r="AW20" s="225"/>
      <c r="AX20" s="225"/>
      <c r="AY20" s="225"/>
      <c r="AZ20" s="225"/>
      <c r="BA20" s="225"/>
      <c r="BB20" s="225"/>
      <c r="BC20" s="225"/>
      <c r="BD20" s="225"/>
      <c r="BE20" s="225"/>
      <c r="BF20" s="225"/>
      <c r="BG20" s="225"/>
    </row>
    <row r="21" spans="1:59" ht="15.5" x14ac:dyDescent="0.35">
      <c r="A21" s="263">
        <f>60/SQRT(B24*C24/1000)</f>
        <v>66.049820353906526</v>
      </c>
      <c r="E21" s="264"/>
      <c r="F21" s="264"/>
      <c r="G21" s="562" t="s">
        <v>622</v>
      </c>
      <c r="H21" s="236">
        <v>763.125</v>
      </c>
      <c r="I21" s="237">
        <f t="shared" si="20"/>
        <v>12.21</v>
      </c>
      <c r="J21" s="238">
        <f t="shared" ref="J21" si="21">I21*0.2048161435</f>
        <v>2.5008051121350001</v>
      </c>
      <c r="K21" s="563">
        <f t="shared" ref="K21" si="22">(H21*(2.20462262184877))/35.3146667214885</f>
        <v>47.640337414670348</v>
      </c>
      <c r="M21" s="222">
        <v>0.15</v>
      </c>
      <c r="N21" s="243">
        <f t="shared" si="5"/>
        <v>25.237976197499997</v>
      </c>
      <c r="O21" s="243">
        <f t="shared" si="6"/>
        <v>41.298506504999992</v>
      </c>
      <c r="P21" s="243">
        <f t="shared" si="7"/>
        <v>64.242121229999995</v>
      </c>
      <c r="Q21" s="243">
        <f t="shared" si="8"/>
        <v>96.363181845000014</v>
      </c>
      <c r="R21" s="243">
        <f t="shared" si="9"/>
        <v>126.18988098749999</v>
      </c>
      <c r="S21" s="243">
        <f t="shared" si="10"/>
        <v>252.37976197499998</v>
      </c>
      <c r="T21" s="243">
        <f t="shared" si="11"/>
        <v>504.75952394999996</v>
      </c>
      <c r="U21" s="243">
        <f t="shared" si="12"/>
        <v>688.30844174999993</v>
      </c>
      <c r="V21" s="243">
        <f t="shared" si="13"/>
        <v>1032.4626626249999</v>
      </c>
      <c r="W21" s="243">
        <f t="shared" si="14"/>
        <v>1376.6168834999999</v>
      </c>
      <c r="X21" s="243">
        <f t="shared" si="15"/>
        <v>1950.2072516249998</v>
      </c>
      <c r="Y21" s="244">
        <f t="shared" si="16"/>
        <v>5735.9036812499999</v>
      </c>
      <c r="Z21" s="225"/>
      <c r="AA21" s="225"/>
      <c r="AB21" s="225"/>
      <c r="AC21" s="225"/>
      <c r="AD21" s="225"/>
      <c r="AE21" s="225"/>
      <c r="AF21" s="225"/>
      <c r="AG21" s="225"/>
      <c r="AH21" s="225"/>
      <c r="AI21" s="225"/>
      <c r="AJ21" s="225"/>
      <c r="AK21" s="225"/>
      <c r="AL21" s="225"/>
      <c r="AM21" s="225"/>
      <c r="AN21" s="225"/>
      <c r="AO21" s="225"/>
      <c r="AP21" s="225"/>
      <c r="AQ21" s="225"/>
      <c r="AR21" s="225"/>
      <c r="AS21" s="225"/>
      <c r="AT21" s="225"/>
      <c r="AU21" s="225"/>
      <c r="AV21" s="225"/>
      <c r="AW21" s="225"/>
      <c r="AX21" s="225"/>
      <c r="AY21" s="225"/>
      <c r="AZ21" s="225"/>
      <c r="BA21" s="225"/>
      <c r="BB21" s="225"/>
      <c r="BC21" s="225"/>
      <c r="BD21" s="225"/>
      <c r="BE21" s="225"/>
      <c r="BF21" s="225"/>
      <c r="BG21" s="225"/>
    </row>
    <row r="22" spans="1:59" ht="15.5" x14ac:dyDescent="0.35">
      <c r="A22" s="265">
        <f>(SQRT(2))*A21</f>
        <v>93.408551736801115</v>
      </c>
      <c r="B22" s="264"/>
      <c r="D22" s="266"/>
      <c r="E22" s="218"/>
      <c r="F22" s="218"/>
      <c r="G22" s="576" t="s">
        <v>1041</v>
      </c>
      <c r="H22" s="247">
        <v>763.125</v>
      </c>
      <c r="I22" s="248">
        <f t="shared" si="20"/>
        <v>12.21</v>
      </c>
      <c r="J22" s="249">
        <f t="shared" ref="J22:J50" si="23">I22*0.2048161435</f>
        <v>2.5008051121350001</v>
      </c>
      <c r="K22" s="567">
        <f t="shared" ref="K22:K50" si="24">(H22*(2.20462262184877))/35.3146667214885</f>
        <v>47.640337414670348</v>
      </c>
      <c r="M22" s="222">
        <v>0.1</v>
      </c>
      <c r="N22" s="243">
        <f t="shared" si="5"/>
        <v>11.216878310000002</v>
      </c>
      <c r="O22" s="243">
        <f t="shared" si="6"/>
        <v>18.354891780000003</v>
      </c>
      <c r="P22" s="243">
        <f t="shared" si="7"/>
        <v>28.552053880000003</v>
      </c>
      <c r="Q22" s="243">
        <f t="shared" si="8"/>
        <v>42.828080820000011</v>
      </c>
      <c r="R22" s="243">
        <f t="shared" si="9"/>
        <v>56.084391550000014</v>
      </c>
      <c r="S22" s="243">
        <f t="shared" si="10"/>
        <v>112.16878310000003</v>
      </c>
      <c r="T22" s="243">
        <f t="shared" si="11"/>
        <v>224.33756620000005</v>
      </c>
      <c r="U22" s="243">
        <f t="shared" si="12"/>
        <v>305.91486300000003</v>
      </c>
      <c r="V22" s="243">
        <f t="shared" si="13"/>
        <v>458.87229450000007</v>
      </c>
      <c r="W22" s="243">
        <f t="shared" si="14"/>
        <v>611.82972600000005</v>
      </c>
      <c r="X22" s="243">
        <f t="shared" si="15"/>
        <v>866.75877850000006</v>
      </c>
      <c r="Y22" s="244">
        <f t="shared" si="16"/>
        <v>2549.2905250000003</v>
      </c>
      <c r="Z22" s="225"/>
      <c r="AA22" s="225"/>
      <c r="AB22" s="225"/>
      <c r="AC22" s="225"/>
      <c r="AD22" s="225"/>
      <c r="AE22" s="225"/>
      <c r="AF22" s="225"/>
      <c r="AG22" s="225"/>
      <c r="AH22" s="225"/>
      <c r="AI22" s="225"/>
      <c r="AJ22" s="225"/>
      <c r="AK22" s="225"/>
      <c r="AL22" s="225"/>
      <c r="AM22" s="225"/>
      <c r="AN22" s="225"/>
      <c r="AO22" s="225"/>
      <c r="AP22" s="225"/>
      <c r="AQ22" s="225"/>
      <c r="AR22" s="225"/>
      <c r="AS22" s="225"/>
      <c r="AT22" s="225"/>
      <c r="AU22" s="225"/>
      <c r="AV22" s="225"/>
      <c r="AW22" s="225"/>
      <c r="AX22" s="225"/>
      <c r="AY22" s="225"/>
      <c r="AZ22" s="225"/>
      <c r="BA22" s="225"/>
      <c r="BB22" s="225"/>
      <c r="BC22" s="225"/>
      <c r="BD22" s="225"/>
      <c r="BE22" s="225"/>
      <c r="BF22" s="225"/>
      <c r="BG22" s="225"/>
    </row>
    <row r="23" spans="1:59" ht="13" x14ac:dyDescent="0.3">
      <c r="A23" s="208"/>
      <c r="B23" s="267" t="s">
        <v>74</v>
      </c>
      <c r="C23" s="267" t="s">
        <v>93</v>
      </c>
      <c r="E23" s="218"/>
      <c r="F23" s="218"/>
      <c r="G23" s="560" t="s">
        <v>420</v>
      </c>
      <c r="H23" s="230">
        <v>7840</v>
      </c>
      <c r="I23" s="231">
        <f t="shared" si="20"/>
        <v>125.44</v>
      </c>
      <c r="J23" s="232">
        <f t="shared" si="23"/>
        <v>25.692137040639999</v>
      </c>
      <c r="K23" s="561">
        <f t="shared" si="24"/>
        <v>489.43521091697363</v>
      </c>
      <c r="M23" s="222">
        <v>0.05</v>
      </c>
      <c r="N23" s="243">
        <f t="shared" si="5"/>
        <v>2.8042195775000005</v>
      </c>
      <c r="O23" s="243">
        <f t="shared" si="6"/>
        <v>4.5887229450000007</v>
      </c>
      <c r="P23" s="243">
        <f t="shared" si="7"/>
        <v>7.1380134700000006</v>
      </c>
      <c r="Q23" s="243">
        <f t="shared" si="8"/>
        <v>10.707020205000003</v>
      </c>
      <c r="R23" s="243">
        <f t="shared" si="9"/>
        <v>14.021097887500003</v>
      </c>
      <c r="S23" s="243">
        <f t="shared" si="10"/>
        <v>28.042195775000007</v>
      </c>
      <c r="T23" s="243">
        <f t="shared" si="11"/>
        <v>56.084391550000014</v>
      </c>
      <c r="U23" s="243">
        <f t="shared" si="12"/>
        <v>76.478715750000006</v>
      </c>
      <c r="V23" s="243">
        <f t="shared" si="13"/>
        <v>114.71807362500002</v>
      </c>
      <c r="W23" s="243">
        <f t="shared" si="14"/>
        <v>152.95743150000001</v>
      </c>
      <c r="X23" s="243">
        <f t="shared" si="15"/>
        <v>216.68969462500002</v>
      </c>
      <c r="Y23" s="244">
        <f t="shared" si="16"/>
        <v>637.32263125000009</v>
      </c>
      <c r="Z23" s="225"/>
      <c r="AA23" s="225"/>
      <c r="AB23" s="225"/>
      <c r="AC23" s="225"/>
      <c r="AD23" s="225"/>
      <c r="AE23" s="225"/>
      <c r="AF23" s="225"/>
      <c r="AG23" s="225"/>
      <c r="AH23" s="225"/>
      <c r="AI23" s="225"/>
      <c r="AJ23" s="225"/>
      <c r="AK23" s="225"/>
      <c r="AL23" s="225"/>
      <c r="AM23" s="225"/>
      <c r="AN23" s="225"/>
      <c r="AO23" s="225"/>
      <c r="AP23" s="225"/>
      <c r="AQ23" s="225"/>
      <c r="AR23" s="225"/>
      <c r="AS23" s="225"/>
      <c r="AT23" s="225"/>
      <c r="AU23" s="225"/>
      <c r="AV23" s="225"/>
      <c r="AW23" s="225"/>
      <c r="AX23" s="225"/>
      <c r="AY23" s="225"/>
      <c r="AZ23" s="225"/>
      <c r="BA23" s="225"/>
      <c r="BB23" s="225"/>
      <c r="BC23" s="225"/>
      <c r="BD23" s="225"/>
      <c r="BE23" s="225"/>
      <c r="BF23" s="225"/>
      <c r="BG23" s="225"/>
    </row>
    <row r="24" spans="1:59" ht="13" thickBot="1" x14ac:dyDescent="0.3">
      <c r="A24" s="208"/>
      <c r="B24" s="643">
        <v>41.26</v>
      </c>
      <c r="C24" s="268">
        <v>20</v>
      </c>
      <c r="F24" s="218"/>
      <c r="G24" s="562" t="s">
        <v>70</v>
      </c>
      <c r="H24" s="236">
        <v>1389</v>
      </c>
      <c r="I24" s="237">
        <f t="shared" si="20"/>
        <v>22.224</v>
      </c>
      <c r="J24" s="238">
        <f t="shared" si="23"/>
        <v>4.5518339731440003</v>
      </c>
      <c r="K24" s="563">
        <f t="shared" si="24"/>
        <v>86.712437240264862</v>
      </c>
      <c r="M24" s="269">
        <v>2.5000000000000001E-2</v>
      </c>
      <c r="N24" s="270">
        <f t="shared" si="5"/>
        <v>0.70105489437500013</v>
      </c>
      <c r="O24" s="270">
        <f t="shared" si="6"/>
        <v>1.1471807362500002</v>
      </c>
      <c r="P24" s="270">
        <f t="shared" si="7"/>
        <v>1.7845033675000002</v>
      </c>
      <c r="Q24" s="270">
        <f t="shared" si="8"/>
        <v>2.6767550512500007</v>
      </c>
      <c r="R24" s="270">
        <f t="shared" si="9"/>
        <v>3.5052744718750009</v>
      </c>
      <c r="S24" s="270">
        <f t="shared" si="10"/>
        <v>7.0105489437500017</v>
      </c>
      <c r="T24" s="270">
        <f t="shared" si="11"/>
        <v>14.021097887500003</v>
      </c>
      <c r="U24" s="270">
        <f t="shared" si="12"/>
        <v>19.119678937500002</v>
      </c>
      <c r="V24" s="270">
        <f t="shared" si="13"/>
        <v>28.679518406250004</v>
      </c>
      <c r="W24" s="270">
        <f t="shared" si="14"/>
        <v>38.239357875000003</v>
      </c>
      <c r="X24" s="270">
        <f t="shared" si="15"/>
        <v>54.172423656250004</v>
      </c>
      <c r="Y24" s="271">
        <f t="shared" si="16"/>
        <v>159.33065781250002</v>
      </c>
      <c r="Z24" s="225"/>
      <c r="AA24" s="225"/>
      <c r="AB24" s="225"/>
      <c r="AC24" s="225"/>
      <c r="AD24" s="225"/>
      <c r="AE24" s="225"/>
      <c r="AF24" s="225"/>
      <c r="AG24" s="225"/>
      <c r="AH24" s="225"/>
      <c r="AI24" s="225"/>
      <c r="AJ24" s="225"/>
      <c r="AK24" s="225"/>
      <c r="AL24" s="225"/>
      <c r="AM24" s="225"/>
      <c r="AN24" s="225"/>
      <c r="AO24" s="225"/>
      <c r="AP24" s="225"/>
      <c r="AQ24" s="225"/>
      <c r="AR24" s="225"/>
      <c r="AS24" s="225"/>
      <c r="AT24" s="225"/>
      <c r="AU24" s="225"/>
      <c r="AV24" s="225"/>
      <c r="AW24" s="225"/>
      <c r="AX24" s="225"/>
      <c r="AY24" s="225"/>
      <c r="AZ24" s="225"/>
      <c r="BA24" s="225"/>
      <c r="BB24" s="225"/>
      <c r="BC24" s="225"/>
      <c r="BD24" s="225"/>
      <c r="BE24" s="225"/>
      <c r="BF24" s="225"/>
      <c r="BG24" s="225"/>
    </row>
    <row r="25" spans="1:59" x14ac:dyDescent="0.25">
      <c r="A25" s="208"/>
      <c r="B25" s="218"/>
      <c r="E25" s="218"/>
      <c r="F25" s="218"/>
      <c r="G25" s="564" t="s">
        <v>71</v>
      </c>
      <c r="H25" s="240">
        <v>1400</v>
      </c>
      <c r="I25" s="241">
        <f t="shared" si="20"/>
        <v>22.4</v>
      </c>
      <c r="J25" s="242">
        <f t="shared" si="23"/>
        <v>4.5878816143999996</v>
      </c>
      <c r="K25" s="565">
        <f t="shared" si="24"/>
        <v>87.39914480660245</v>
      </c>
      <c r="M25" s="218"/>
      <c r="T25" s="225"/>
      <c r="U25" s="225"/>
      <c r="V25" s="225"/>
      <c r="W25" s="225"/>
      <c r="X25" s="225"/>
      <c r="Y25" s="225"/>
      <c r="Z25" s="225"/>
      <c r="AA25" s="225"/>
      <c r="AB25" s="225"/>
      <c r="AC25" s="225"/>
      <c r="AD25" s="225"/>
      <c r="AE25" s="225"/>
      <c r="AF25" s="225"/>
      <c r="AG25" s="225"/>
      <c r="AH25" s="225"/>
      <c r="AI25" s="225"/>
      <c r="AJ25" s="225"/>
      <c r="AK25" s="225"/>
      <c r="AL25" s="225"/>
      <c r="AM25" s="225"/>
      <c r="AN25" s="225"/>
      <c r="AO25" s="225"/>
      <c r="AP25" s="225"/>
      <c r="AQ25" s="225"/>
      <c r="AR25" s="225"/>
      <c r="AS25" s="225"/>
      <c r="AT25" s="225"/>
      <c r="AU25" s="225"/>
      <c r="AV25" s="225"/>
      <c r="AW25" s="225"/>
      <c r="AX25" s="225"/>
      <c r="AY25" s="225"/>
      <c r="AZ25" s="225"/>
      <c r="BA25" s="225"/>
      <c r="BB25" s="225"/>
      <c r="BC25" s="225"/>
      <c r="BD25" s="225"/>
      <c r="BE25" s="225"/>
      <c r="BF25" s="225"/>
      <c r="BG25" s="225"/>
    </row>
    <row r="26" spans="1:59" ht="13" x14ac:dyDescent="0.3">
      <c r="A26" s="272" t="s">
        <v>79</v>
      </c>
      <c r="B26" s="218"/>
      <c r="E26" s="218"/>
      <c r="F26" s="218"/>
      <c r="G26" s="566" t="s">
        <v>73</v>
      </c>
      <c r="H26" s="247">
        <v>1804</v>
      </c>
      <c r="I26" s="248">
        <f t="shared" si="20"/>
        <v>28.864000000000001</v>
      </c>
      <c r="J26" s="249">
        <f t="shared" si="23"/>
        <v>5.9118131659840003</v>
      </c>
      <c r="K26" s="567">
        <f t="shared" si="24"/>
        <v>112.62004087936486</v>
      </c>
      <c r="X26" s="225"/>
      <c r="Y26" s="225"/>
      <c r="Z26" s="225"/>
      <c r="AA26" s="225"/>
      <c r="AB26" s="225"/>
      <c r="AC26" s="225"/>
      <c r="AD26" s="225"/>
      <c r="AE26" s="225"/>
      <c r="AF26" s="225"/>
      <c r="AG26" s="225"/>
      <c r="AH26" s="225"/>
      <c r="AI26" s="225"/>
      <c r="AJ26" s="225"/>
      <c r="AK26" s="225"/>
      <c r="AL26" s="225"/>
      <c r="AM26" s="225"/>
      <c r="AN26" s="225"/>
      <c r="AO26" s="225"/>
      <c r="AP26" s="225"/>
      <c r="AQ26" s="225"/>
      <c r="AR26" s="225"/>
      <c r="AS26" s="225"/>
      <c r="AT26" s="225"/>
      <c r="AU26" s="225"/>
      <c r="AV26" s="225"/>
      <c r="AW26" s="225"/>
      <c r="AX26" s="225"/>
      <c r="AY26" s="225"/>
      <c r="AZ26" s="225"/>
      <c r="BA26" s="225"/>
      <c r="BB26" s="225"/>
      <c r="BC26" s="225"/>
      <c r="BD26" s="225"/>
      <c r="BE26" s="225"/>
      <c r="BF26" s="225"/>
      <c r="BG26" s="225"/>
    </row>
    <row r="27" spans="1:59" ht="16" thickBot="1" x14ac:dyDescent="0.4">
      <c r="A27" s="273">
        <f>50/SQRT(B24*C24/1000)</f>
        <v>55.041516961588776</v>
      </c>
      <c r="B27" s="218"/>
      <c r="E27" s="218"/>
      <c r="F27" s="218"/>
      <c r="G27" s="568" t="s">
        <v>75</v>
      </c>
      <c r="H27" s="250">
        <v>1250</v>
      </c>
      <c r="I27" s="251">
        <f t="shared" si="20"/>
        <v>20</v>
      </c>
      <c r="J27" s="252">
        <f t="shared" si="23"/>
        <v>4.0963228699999998</v>
      </c>
      <c r="K27" s="569">
        <f t="shared" si="24"/>
        <v>78.03495072018076</v>
      </c>
      <c r="X27" s="225"/>
      <c r="Y27" s="225"/>
      <c r="Z27" s="225"/>
      <c r="AA27" s="225"/>
      <c r="AB27" s="225"/>
      <c r="AC27" s="225"/>
      <c r="AD27" s="225"/>
      <c r="AE27" s="225"/>
      <c r="AF27" s="225"/>
      <c r="AG27" s="225"/>
      <c r="AH27" s="225"/>
      <c r="AI27" s="225"/>
      <c r="AJ27" s="225"/>
      <c r="AK27" s="225"/>
      <c r="AL27" s="225"/>
      <c r="AM27" s="225"/>
      <c r="AN27" s="225"/>
      <c r="AO27" s="225"/>
      <c r="AP27" s="225"/>
      <c r="AQ27" s="225"/>
      <c r="AR27" s="225"/>
      <c r="AS27" s="225"/>
      <c r="AT27" s="225"/>
      <c r="AU27" s="225"/>
      <c r="AV27" s="225"/>
      <c r="AW27" s="225"/>
      <c r="AX27" s="225"/>
      <c r="AY27" s="225"/>
      <c r="AZ27" s="225"/>
      <c r="BA27" s="225"/>
      <c r="BB27" s="225"/>
      <c r="BC27" s="225"/>
      <c r="BD27" s="225"/>
      <c r="BE27" s="225"/>
      <c r="BF27" s="225"/>
      <c r="BG27" s="225"/>
    </row>
    <row r="28" spans="1:59" ht="15.5" x14ac:dyDescent="0.35">
      <c r="A28" s="274">
        <f>(SQRT(2))*A27</f>
        <v>77.840459780667601</v>
      </c>
      <c r="B28" s="264"/>
      <c r="C28" s="275"/>
      <c r="E28" s="218"/>
      <c r="F28" s="218"/>
      <c r="G28" s="570" t="s">
        <v>76</v>
      </c>
      <c r="H28" s="254">
        <v>950</v>
      </c>
      <c r="I28" s="255">
        <f t="shared" si="20"/>
        <v>15.2</v>
      </c>
      <c r="J28" s="256">
        <f t="shared" si="23"/>
        <v>3.1132053811999998</v>
      </c>
      <c r="K28" s="571">
        <f t="shared" si="24"/>
        <v>59.306562547337371</v>
      </c>
      <c r="M28" s="215" t="s">
        <v>465</v>
      </c>
      <c r="N28" s="216" t="s">
        <v>568</v>
      </c>
      <c r="O28" s="216" t="s">
        <v>569</v>
      </c>
      <c r="P28" s="216" t="s">
        <v>570</v>
      </c>
      <c r="Q28" s="216" t="s">
        <v>571</v>
      </c>
      <c r="R28" s="216" t="s">
        <v>572</v>
      </c>
      <c r="S28" s="216" t="s">
        <v>573</v>
      </c>
      <c r="T28" s="216" t="s">
        <v>574</v>
      </c>
      <c r="U28" s="216" t="s">
        <v>575</v>
      </c>
      <c r="V28" s="216" t="s">
        <v>576</v>
      </c>
      <c r="W28" s="217" t="s">
        <v>577</v>
      </c>
      <c r="X28" s="225"/>
      <c r="Y28" s="225"/>
      <c r="Z28" s="225"/>
      <c r="AA28" s="225"/>
      <c r="AB28" s="225"/>
      <c r="AC28" s="225"/>
      <c r="AD28" s="225"/>
      <c r="AE28" s="225"/>
      <c r="AF28" s="225"/>
      <c r="AG28" s="225"/>
      <c r="AH28" s="225"/>
      <c r="AI28" s="225"/>
      <c r="AJ28" s="225"/>
      <c r="AK28" s="225"/>
      <c r="AL28" s="225"/>
      <c r="AM28" s="225"/>
      <c r="AN28" s="225"/>
      <c r="AO28" s="225"/>
      <c r="AP28" s="225"/>
      <c r="AQ28" s="225"/>
      <c r="AR28" s="225"/>
      <c r="AS28" s="225"/>
      <c r="AT28" s="225"/>
      <c r="AU28" s="225"/>
      <c r="AV28" s="225"/>
      <c r="AW28" s="225"/>
      <c r="AX28" s="225"/>
      <c r="AY28" s="225"/>
      <c r="AZ28" s="225"/>
      <c r="BA28" s="225"/>
      <c r="BB28" s="225"/>
      <c r="BC28" s="225"/>
      <c r="BD28" s="225"/>
      <c r="BE28" s="225"/>
      <c r="BF28" s="225"/>
      <c r="BG28" s="225"/>
    </row>
    <row r="29" spans="1:59" x14ac:dyDescent="0.25">
      <c r="G29" s="610" t="s">
        <v>1145</v>
      </c>
      <c r="H29" s="259">
        <v>434.05</v>
      </c>
      <c r="I29" s="260">
        <f t="shared" si="20"/>
        <v>6.9447999999999999</v>
      </c>
      <c r="J29" s="261">
        <f t="shared" si="23"/>
        <v>1.4224071533787999</v>
      </c>
      <c r="K29" s="573">
        <f t="shared" si="24"/>
        <v>27.096856288075568</v>
      </c>
      <c r="M29" s="222" t="s">
        <v>457</v>
      </c>
      <c r="N29" s="223" t="s">
        <v>578</v>
      </c>
      <c r="O29" s="223" t="s">
        <v>461</v>
      </c>
      <c r="P29" s="223" t="s">
        <v>562</v>
      </c>
      <c r="Q29" s="223" t="s">
        <v>565</v>
      </c>
      <c r="R29" s="223" t="s">
        <v>560</v>
      </c>
      <c r="S29" s="223" t="s">
        <v>462</v>
      </c>
      <c r="T29" s="223" t="s">
        <v>566</v>
      </c>
      <c r="U29" s="223" t="s">
        <v>579</v>
      </c>
      <c r="V29" s="223" t="s">
        <v>460</v>
      </c>
      <c r="W29" s="224" t="s">
        <v>580</v>
      </c>
      <c r="X29" s="225"/>
      <c r="Y29" s="225"/>
      <c r="Z29" s="225"/>
      <c r="AA29" s="225"/>
      <c r="AB29" s="225"/>
      <c r="AC29" s="225"/>
      <c r="AD29" s="225"/>
      <c r="AE29" s="225"/>
      <c r="AF29" s="225"/>
      <c r="AG29" s="225"/>
      <c r="AH29" s="225"/>
      <c r="AI29" s="225"/>
      <c r="AJ29" s="225"/>
      <c r="AK29" s="225"/>
      <c r="AL29" s="225"/>
      <c r="AM29" s="225"/>
      <c r="AN29" s="225"/>
      <c r="AO29" s="225"/>
      <c r="AP29" s="225"/>
      <c r="AQ29" s="225"/>
      <c r="AR29" s="225"/>
      <c r="AS29" s="225"/>
      <c r="AT29" s="225"/>
      <c r="AU29" s="225"/>
      <c r="AV29" s="225"/>
      <c r="AW29" s="225"/>
      <c r="AX29" s="225"/>
      <c r="AY29" s="225"/>
      <c r="AZ29" s="225"/>
      <c r="BA29" s="225"/>
      <c r="BB29" s="225"/>
      <c r="BC29" s="225"/>
      <c r="BD29" s="225"/>
      <c r="BE29" s="225"/>
      <c r="BF29" s="225"/>
      <c r="BG29" s="225"/>
    </row>
    <row r="30" spans="1:59" ht="13" thickBot="1" x14ac:dyDescent="0.3">
      <c r="G30" s="611" t="s">
        <v>1146</v>
      </c>
      <c r="H30" s="219">
        <v>595.27</v>
      </c>
      <c r="I30" s="220">
        <f t="shared" si="20"/>
        <v>9.5243199999999995</v>
      </c>
      <c r="J30" s="221">
        <f t="shared" si="23"/>
        <v>1.9507344918599199</v>
      </c>
      <c r="K30" s="557">
        <f t="shared" si="24"/>
        <v>37.161492092161602</v>
      </c>
      <c r="M30" s="222" t="s">
        <v>464</v>
      </c>
      <c r="N30" s="223">
        <v>1.0999999999999999E-2</v>
      </c>
      <c r="O30" s="223">
        <v>1.7999999999999999E-2</v>
      </c>
      <c r="P30" s="223">
        <v>2.8000000000000001E-2</v>
      </c>
      <c r="Q30" s="223">
        <v>4.2000000000000003E-2</v>
      </c>
      <c r="R30" s="223">
        <v>5.5E-2</v>
      </c>
      <c r="S30" s="223">
        <v>0.11</v>
      </c>
      <c r="T30" s="223">
        <v>0.22</v>
      </c>
      <c r="U30" s="223">
        <v>0.45</v>
      </c>
      <c r="V30" s="223">
        <v>0.85</v>
      </c>
      <c r="W30" s="224">
        <v>1.2</v>
      </c>
      <c r="X30" s="225"/>
      <c r="Y30" s="225"/>
      <c r="Z30" s="225"/>
      <c r="AA30" s="225"/>
      <c r="AB30" s="225"/>
      <c r="AC30" s="225"/>
      <c r="AD30" s="225"/>
      <c r="AE30" s="225"/>
      <c r="AF30" s="225"/>
      <c r="AG30" s="225"/>
      <c r="AH30" s="225"/>
      <c r="AI30" s="225"/>
      <c r="AJ30" s="225"/>
      <c r="AK30" s="225"/>
      <c r="AL30" s="225"/>
      <c r="AM30" s="225"/>
      <c r="AN30" s="225"/>
      <c r="AO30" s="225"/>
      <c r="AP30" s="225"/>
      <c r="AQ30" s="225"/>
      <c r="AR30" s="225"/>
      <c r="AS30" s="225"/>
      <c r="AT30" s="225"/>
      <c r="AU30" s="225"/>
      <c r="AV30" s="225"/>
      <c r="AW30" s="225"/>
      <c r="AX30" s="225"/>
      <c r="AY30" s="225"/>
      <c r="AZ30" s="225"/>
      <c r="BA30" s="225"/>
      <c r="BB30" s="225"/>
      <c r="BC30" s="225"/>
      <c r="BD30" s="225"/>
      <c r="BE30" s="225"/>
      <c r="BF30" s="225"/>
      <c r="BG30" s="225"/>
    </row>
    <row r="31" spans="1:59" ht="13" x14ac:dyDescent="0.3">
      <c r="A31" s="913" t="s">
        <v>817</v>
      </c>
      <c r="B31" s="914"/>
      <c r="C31" s="915"/>
      <c r="G31" s="558" t="s">
        <v>80</v>
      </c>
      <c r="H31" s="226">
        <v>1500</v>
      </c>
      <c r="I31" s="227">
        <f t="shared" si="20"/>
        <v>24</v>
      </c>
      <c r="J31" s="228">
        <f t="shared" si="23"/>
        <v>4.9155874439999998</v>
      </c>
      <c r="K31" s="559">
        <f t="shared" si="24"/>
        <v>93.641940864216906</v>
      </c>
      <c r="M31" s="222" t="s">
        <v>581</v>
      </c>
      <c r="N31" s="898" t="s">
        <v>567</v>
      </c>
      <c r="O31" s="899"/>
      <c r="P31" s="899"/>
      <c r="Q31" s="899"/>
      <c r="R31" s="899"/>
      <c r="S31" s="899"/>
      <c r="T31" s="899"/>
      <c r="U31" s="899"/>
      <c r="V31" s="899"/>
      <c r="W31" s="900"/>
      <c r="X31" s="225"/>
      <c r="Y31" s="225"/>
      <c r="Z31" s="225"/>
      <c r="AA31" s="225"/>
      <c r="AB31" s="225"/>
      <c r="AC31" s="225"/>
      <c r="AD31" s="225"/>
      <c r="AE31" s="225"/>
      <c r="AF31" s="225"/>
      <c r="AG31" s="225"/>
      <c r="AH31" s="225"/>
      <c r="AI31" s="225"/>
      <c r="AJ31" s="225"/>
      <c r="AK31" s="225"/>
      <c r="AL31" s="225"/>
      <c r="AM31" s="225"/>
      <c r="AN31" s="225"/>
      <c r="AO31" s="225"/>
      <c r="AP31" s="225"/>
      <c r="AQ31" s="225"/>
      <c r="AR31" s="225"/>
      <c r="AS31" s="225"/>
      <c r="AT31" s="225"/>
      <c r="AU31" s="225"/>
      <c r="AV31" s="225"/>
      <c r="AW31" s="225"/>
      <c r="AX31" s="225"/>
      <c r="AY31" s="225"/>
      <c r="AZ31" s="225"/>
      <c r="BA31" s="225"/>
      <c r="BB31" s="225"/>
      <c r="BC31" s="225"/>
      <c r="BD31" s="225"/>
      <c r="BE31" s="225"/>
      <c r="BF31" s="225"/>
      <c r="BG31" s="225"/>
    </row>
    <row r="32" spans="1:59" ht="12.75" customHeight="1" x14ac:dyDescent="0.25">
      <c r="A32" s="916"/>
      <c r="B32" s="917"/>
      <c r="C32" s="918"/>
      <c r="G32" s="560" t="s">
        <v>466</v>
      </c>
      <c r="H32" s="230">
        <v>1100</v>
      </c>
      <c r="I32" s="231">
        <f t="shared" si="20"/>
        <v>17.600000000000001</v>
      </c>
      <c r="J32" s="232">
        <f t="shared" si="23"/>
        <v>3.6047641256</v>
      </c>
      <c r="K32" s="561">
        <f t="shared" si="24"/>
        <v>68.670756633759069</v>
      </c>
      <c r="M32" s="222">
        <v>1</v>
      </c>
      <c r="N32" s="243">
        <f>N30*101971.621</f>
        <v>1121.687831</v>
      </c>
      <c r="O32" s="243">
        <f t="shared" ref="O32:W32" si="25">O30*101971.621</f>
        <v>1835.4891779999998</v>
      </c>
      <c r="P32" s="243">
        <f t="shared" si="25"/>
        <v>2855.2053879999999</v>
      </c>
      <c r="Q32" s="243">
        <f t="shared" si="25"/>
        <v>4282.8080820000005</v>
      </c>
      <c r="R32" s="243">
        <f t="shared" si="25"/>
        <v>5608.439155</v>
      </c>
      <c r="S32" s="243">
        <f t="shared" si="25"/>
        <v>11216.87831</v>
      </c>
      <c r="T32" s="243">
        <f t="shared" si="25"/>
        <v>22433.75662</v>
      </c>
      <c r="U32" s="243">
        <f t="shared" si="25"/>
        <v>45887.229449999999</v>
      </c>
      <c r="V32" s="243">
        <f t="shared" si="25"/>
        <v>86675.87784999999</v>
      </c>
      <c r="W32" s="244">
        <f t="shared" si="25"/>
        <v>122365.94519999999</v>
      </c>
      <c r="X32" s="225"/>
      <c r="Y32" s="225"/>
      <c r="Z32" s="225"/>
      <c r="AA32" s="225"/>
      <c r="AB32" s="225"/>
      <c r="AC32" s="225"/>
      <c r="AD32" s="225"/>
      <c r="AE32" s="225"/>
      <c r="AF32" s="225"/>
      <c r="AG32" s="225"/>
      <c r="AH32" s="225"/>
      <c r="AI32" s="225"/>
      <c r="AJ32" s="225"/>
      <c r="AK32" s="225"/>
      <c r="AL32" s="225"/>
      <c r="AM32" s="225"/>
      <c r="AN32" s="225"/>
      <c r="AO32" s="225"/>
      <c r="AP32" s="225"/>
      <c r="AQ32" s="225"/>
      <c r="AR32" s="225"/>
      <c r="AS32" s="225"/>
      <c r="AT32" s="225"/>
      <c r="AU32" s="225"/>
      <c r="AV32" s="225"/>
      <c r="AW32" s="225"/>
      <c r="AX32" s="225"/>
      <c r="AY32" s="225"/>
      <c r="AZ32" s="225"/>
      <c r="BA32" s="225"/>
      <c r="BB32" s="225"/>
      <c r="BC32" s="225"/>
      <c r="BD32" s="225"/>
      <c r="BE32" s="225"/>
      <c r="BF32" s="225"/>
      <c r="BG32" s="225"/>
    </row>
    <row r="33" spans="1:59" ht="13.5" customHeight="1" thickBot="1" x14ac:dyDescent="0.3">
      <c r="A33" s="919"/>
      <c r="B33" s="920"/>
      <c r="C33" s="921"/>
      <c r="G33" s="562" t="s">
        <v>467</v>
      </c>
      <c r="H33" s="236">
        <v>1136.4000000000001</v>
      </c>
      <c r="I33" s="237">
        <f t="shared" si="20"/>
        <v>18.182400000000001</v>
      </c>
      <c r="J33" s="238">
        <f t="shared" si="23"/>
        <v>3.7240490475743999</v>
      </c>
      <c r="K33" s="563">
        <f t="shared" si="24"/>
        <v>70.943134398730734</v>
      </c>
      <c r="M33" s="222">
        <v>0.75</v>
      </c>
      <c r="N33" s="243">
        <f t="shared" ref="N33:N43" si="26">$N$32*(M33*M33)</f>
        <v>630.94940493749993</v>
      </c>
      <c r="O33" s="243">
        <f t="shared" ref="O33:O43" si="27">$O$32*(M33*M33)</f>
        <v>1032.4626626249999</v>
      </c>
      <c r="P33" s="243">
        <f t="shared" ref="P33:P43" si="28">$P$32*(M33*M33)</f>
        <v>1606.0530307499998</v>
      </c>
      <c r="Q33" s="243">
        <f t="shared" ref="Q33:Q43" si="29">$Q$32*(M33*M33)</f>
        <v>2409.0795461250004</v>
      </c>
      <c r="R33" s="243">
        <f t="shared" ref="R33:R43" si="30">$R$32*(M33*M33)</f>
        <v>3154.7470246875</v>
      </c>
      <c r="S33" s="243">
        <f t="shared" ref="S33:S43" si="31">$S$32*(M33*M33)</f>
        <v>6309.494049375</v>
      </c>
      <c r="T33" s="243">
        <f t="shared" ref="T33:T43" si="32">$T$32*(M33*M33)</f>
        <v>12618.98809875</v>
      </c>
      <c r="U33" s="243">
        <f t="shared" ref="U33:U43" si="33">$U$32*(M33*M33)</f>
        <v>25811.566565624998</v>
      </c>
      <c r="V33" s="243">
        <f t="shared" ref="V33:V43" si="34">$V$32*(M33*M33)</f>
        <v>48755.181290624998</v>
      </c>
      <c r="W33" s="244">
        <f t="shared" ref="W33:W43" si="35">W32*($M$33*$M$33)</f>
        <v>68830.844174999991</v>
      </c>
      <c r="X33" s="225"/>
      <c r="Y33" s="225"/>
      <c r="Z33" s="225"/>
      <c r="AA33" s="225"/>
      <c r="AB33" s="225"/>
      <c r="AC33" s="225"/>
      <c r="AD33" s="225"/>
      <c r="AE33" s="225"/>
      <c r="AF33" s="225"/>
      <c r="AG33" s="225"/>
      <c r="AH33" s="225"/>
      <c r="AI33" s="225"/>
      <c r="AJ33" s="225"/>
      <c r="AK33" s="225"/>
      <c r="AL33" s="225"/>
      <c r="AM33" s="225"/>
      <c r="AN33" s="225"/>
      <c r="AO33" s="225"/>
      <c r="AP33" s="225"/>
      <c r="AQ33" s="225"/>
      <c r="AR33" s="225"/>
      <c r="AS33" s="225"/>
      <c r="AT33" s="225"/>
      <c r="AU33" s="225"/>
      <c r="AV33" s="225"/>
      <c r="AW33" s="225"/>
      <c r="AX33" s="225"/>
      <c r="AY33" s="225"/>
      <c r="AZ33" s="225"/>
      <c r="BA33" s="225"/>
      <c r="BB33" s="225"/>
      <c r="BC33" s="225"/>
      <c r="BD33" s="225"/>
      <c r="BE33" s="225"/>
      <c r="BF33" s="225"/>
      <c r="BG33" s="225"/>
    </row>
    <row r="34" spans="1:59" ht="13" x14ac:dyDescent="0.3">
      <c r="A34" s="276" t="s">
        <v>72</v>
      </c>
      <c r="B34" s="277"/>
      <c r="C34" s="278"/>
      <c r="G34" s="564" t="s">
        <v>83</v>
      </c>
      <c r="H34" s="240">
        <v>853</v>
      </c>
      <c r="I34" s="241">
        <f t="shared" si="20"/>
        <v>13.648</v>
      </c>
      <c r="J34" s="242">
        <f t="shared" si="23"/>
        <v>2.7953307264879999</v>
      </c>
      <c r="K34" s="565">
        <f t="shared" si="24"/>
        <v>53.251050371451349</v>
      </c>
      <c r="M34" s="222">
        <v>0.6</v>
      </c>
      <c r="N34" s="243">
        <f t="shared" si="26"/>
        <v>403.80761915999994</v>
      </c>
      <c r="O34" s="243">
        <f t="shared" si="27"/>
        <v>660.77610407999987</v>
      </c>
      <c r="P34" s="243">
        <f t="shared" si="28"/>
        <v>1027.8739396799999</v>
      </c>
      <c r="Q34" s="243">
        <f t="shared" si="29"/>
        <v>1541.8109095200002</v>
      </c>
      <c r="R34" s="243">
        <f t="shared" si="30"/>
        <v>2019.0380957999998</v>
      </c>
      <c r="S34" s="243">
        <f t="shared" si="31"/>
        <v>4038.0761915999997</v>
      </c>
      <c r="T34" s="243">
        <f t="shared" si="32"/>
        <v>8076.1523831999993</v>
      </c>
      <c r="U34" s="243">
        <f t="shared" si="33"/>
        <v>16519.402601999998</v>
      </c>
      <c r="V34" s="243">
        <f t="shared" si="34"/>
        <v>31203.316025999997</v>
      </c>
      <c r="W34" s="244">
        <f t="shared" si="35"/>
        <v>38717.349848437494</v>
      </c>
      <c r="X34" s="225"/>
      <c r="Y34" s="225"/>
      <c r="Z34" s="225"/>
      <c r="AA34" s="225"/>
      <c r="AB34" s="225"/>
      <c r="AC34" s="225"/>
      <c r="AD34" s="225"/>
      <c r="AE34" s="225"/>
      <c r="AF34" s="225"/>
      <c r="AG34" s="225"/>
      <c r="AH34" s="225"/>
      <c r="AI34" s="225"/>
      <c r="AJ34" s="225"/>
      <c r="AK34" s="225"/>
      <c r="AL34" s="225"/>
      <c r="AM34" s="225"/>
      <c r="AN34" s="225"/>
      <c r="AO34" s="225"/>
      <c r="AP34" s="225"/>
      <c r="AQ34" s="225"/>
      <c r="AR34" s="225"/>
      <c r="AS34" s="225"/>
      <c r="AT34" s="225"/>
      <c r="AU34" s="225"/>
      <c r="AV34" s="225"/>
      <c r="AW34" s="225"/>
      <c r="AX34" s="225"/>
      <c r="AY34" s="225"/>
      <c r="AZ34" s="225"/>
      <c r="BA34" s="225"/>
      <c r="BB34" s="225"/>
      <c r="BC34" s="225"/>
      <c r="BD34" s="225"/>
      <c r="BE34" s="225"/>
      <c r="BF34" s="225"/>
      <c r="BG34" s="225"/>
    </row>
    <row r="35" spans="1:59" ht="15.5" x14ac:dyDescent="0.35">
      <c r="A35" s="279">
        <f>(60/SQRT(B38*C38/1000))*1.61</f>
        <v>106.34021076978951</v>
      </c>
      <c r="B35" s="277"/>
      <c r="C35" s="278"/>
      <c r="G35" s="566" t="s">
        <v>84</v>
      </c>
      <c r="H35" s="247">
        <v>2139</v>
      </c>
      <c r="I35" s="248">
        <f t="shared" si="20"/>
        <v>34.223999999999997</v>
      </c>
      <c r="J35" s="249">
        <f t="shared" si="23"/>
        <v>7.0096276951439993</v>
      </c>
      <c r="K35" s="567">
        <f t="shared" si="24"/>
        <v>133.5334076723733</v>
      </c>
      <c r="M35" s="222">
        <v>0.5</v>
      </c>
      <c r="N35" s="243">
        <f t="shared" si="26"/>
        <v>280.42195774999999</v>
      </c>
      <c r="O35" s="243">
        <f t="shared" si="27"/>
        <v>458.87229449999995</v>
      </c>
      <c r="P35" s="243">
        <f t="shared" si="28"/>
        <v>713.80134699999996</v>
      </c>
      <c r="Q35" s="243">
        <f t="shared" si="29"/>
        <v>1070.7020205000001</v>
      </c>
      <c r="R35" s="243">
        <f t="shared" si="30"/>
        <v>1402.10978875</v>
      </c>
      <c r="S35" s="243">
        <f t="shared" si="31"/>
        <v>2804.2195775</v>
      </c>
      <c r="T35" s="243">
        <f t="shared" si="32"/>
        <v>5608.439155</v>
      </c>
      <c r="U35" s="243">
        <f t="shared" si="33"/>
        <v>11471.8073625</v>
      </c>
      <c r="V35" s="243">
        <f t="shared" si="34"/>
        <v>21668.969462499997</v>
      </c>
      <c r="W35" s="244">
        <f t="shared" si="35"/>
        <v>21778.509289746089</v>
      </c>
      <c r="X35" s="225"/>
      <c r="Y35" s="225"/>
      <c r="Z35" s="225"/>
      <c r="AA35" s="225"/>
      <c r="AB35" s="225"/>
      <c r="AC35" s="225"/>
      <c r="AD35" s="225"/>
      <c r="AE35" s="225"/>
      <c r="AF35" s="225"/>
      <c r="AG35" s="225"/>
      <c r="AH35" s="225"/>
      <c r="AI35" s="225"/>
      <c r="AJ35" s="225"/>
      <c r="AK35" s="225"/>
      <c r="AL35" s="225"/>
      <c r="AM35" s="225"/>
      <c r="AN35" s="225"/>
      <c r="AO35" s="225"/>
      <c r="AP35" s="225"/>
      <c r="AQ35" s="225"/>
      <c r="AR35" s="225"/>
      <c r="AS35" s="225"/>
      <c r="AT35" s="225"/>
      <c r="AU35" s="225"/>
      <c r="AV35" s="225"/>
      <c r="AW35" s="225"/>
      <c r="AX35" s="225"/>
      <c r="AY35" s="225"/>
      <c r="AZ35" s="225"/>
      <c r="BA35" s="225"/>
      <c r="BB35" s="225"/>
      <c r="BC35" s="225"/>
      <c r="BD35" s="225"/>
      <c r="BE35" s="225"/>
      <c r="BF35" s="225"/>
      <c r="BG35" s="225"/>
    </row>
    <row r="36" spans="1:59" ht="15.5" x14ac:dyDescent="0.35">
      <c r="A36" s="280">
        <f>(SQRT(2))*A35</f>
        <v>150.38776829624979</v>
      </c>
      <c r="B36" s="281"/>
      <c r="C36" s="278"/>
      <c r="G36" s="568" t="s">
        <v>85</v>
      </c>
      <c r="H36" s="250">
        <v>1667</v>
      </c>
      <c r="I36" s="251">
        <f t="shared" si="20"/>
        <v>26.672000000000001</v>
      </c>
      <c r="J36" s="252">
        <f t="shared" si="23"/>
        <v>5.4628561794320003</v>
      </c>
      <c r="K36" s="569">
        <f t="shared" si="24"/>
        <v>104.06741028043305</v>
      </c>
      <c r="M36" s="222">
        <v>0.4</v>
      </c>
      <c r="N36" s="243">
        <f t="shared" si="26"/>
        <v>179.47005296000003</v>
      </c>
      <c r="O36" s="243">
        <f t="shared" si="27"/>
        <v>293.67826848000004</v>
      </c>
      <c r="P36" s="243">
        <f t="shared" si="28"/>
        <v>456.83286208000004</v>
      </c>
      <c r="Q36" s="243">
        <f t="shared" si="29"/>
        <v>685.24929312000017</v>
      </c>
      <c r="R36" s="243">
        <f t="shared" si="30"/>
        <v>897.35026480000022</v>
      </c>
      <c r="S36" s="243">
        <f t="shared" si="31"/>
        <v>1794.7005296000004</v>
      </c>
      <c r="T36" s="243">
        <f t="shared" si="32"/>
        <v>3589.4010592000009</v>
      </c>
      <c r="U36" s="243">
        <f t="shared" si="33"/>
        <v>7341.9567120000011</v>
      </c>
      <c r="V36" s="243">
        <f t="shared" si="34"/>
        <v>13868.140456000001</v>
      </c>
      <c r="W36" s="244">
        <f t="shared" si="35"/>
        <v>12250.411475482175</v>
      </c>
      <c r="X36" s="225"/>
      <c r="Y36" s="225"/>
      <c r="Z36" s="225"/>
      <c r="AA36" s="225"/>
      <c r="AB36" s="225"/>
      <c r="AC36" s="225"/>
      <c r="AD36" s="225"/>
      <c r="AE36" s="225"/>
      <c r="AF36" s="225"/>
      <c r="AG36" s="225"/>
      <c r="AH36" s="225"/>
      <c r="AI36" s="225"/>
      <c r="AJ36" s="225"/>
      <c r="AK36" s="225"/>
      <c r="AL36" s="225"/>
      <c r="AM36" s="225"/>
      <c r="AN36" s="225"/>
      <c r="AO36" s="225"/>
      <c r="AP36" s="225"/>
      <c r="AQ36" s="225"/>
      <c r="AR36" s="225"/>
      <c r="AS36" s="225"/>
      <c r="AT36" s="225"/>
      <c r="AU36" s="225"/>
      <c r="AV36" s="225"/>
      <c r="AW36" s="225"/>
      <c r="AX36" s="225"/>
      <c r="AY36" s="225"/>
      <c r="AZ36" s="225"/>
      <c r="BA36" s="225"/>
      <c r="BB36" s="225"/>
      <c r="BC36" s="225"/>
      <c r="BD36" s="225"/>
      <c r="BE36" s="225"/>
      <c r="BF36" s="225"/>
      <c r="BG36" s="225"/>
    </row>
    <row r="37" spans="1:59" ht="13" x14ac:dyDescent="0.3">
      <c r="A37" s="282"/>
      <c r="B37" s="283" t="s">
        <v>74</v>
      </c>
      <c r="C37" s="284" t="s">
        <v>93</v>
      </c>
      <c r="G37" s="570" t="s">
        <v>373</v>
      </c>
      <c r="H37" s="254">
        <v>2499</v>
      </c>
      <c r="I37" s="255">
        <f t="shared" si="20"/>
        <v>39.984000000000002</v>
      </c>
      <c r="J37" s="256">
        <f t="shared" si="23"/>
        <v>8.1893686817039999</v>
      </c>
      <c r="K37" s="571">
        <f t="shared" si="24"/>
        <v>156.00747347978538</v>
      </c>
      <c r="M37" s="222">
        <v>0.3</v>
      </c>
      <c r="N37" s="243">
        <f t="shared" si="26"/>
        <v>100.95190478999999</v>
      </c>
      <c r="O37" s="243">
        <f t="shared" si="27"/>
        <v>165.19402601999997</v>
      </c>
      <c r="P37" s="243">
        <f t="shared" si="28"/>
        <v>256.96848491999998</v>
      </c>
      <c r="Q37" s="243">
        <f t="shared" si="29"/>
        <v>385.45272738000006</v>
      </c>
      <c r="R37" s="243">
        <f t="shared" si="30"/>
        <v>504.75952394999996</v>
      </c>
      <c r="S37" s="243">
        <f t="shared" si="31"/>
        <v>1009.5190478999999</v>
      </c>
      <c r="T37" s="243">
        <f t="shared" si="32"/>
        <v>2019.0380957999998</v>
      </c>
      <c r="U37" s="243">
        <f t="shared" si="33"/>
        <v>4129.8506504999996</v>
      </c>
      <c r="V37" s="243">
        <f t="shared" si="34"/>
        <v>7800.8290064999992</v>
      </c>
      <c r="W37" s="244">
        <f t="shared" si="35"/>
        <v>6890.8564549587236</v>
      </c>
      <c r="X37" s="225"/>
      <c r="Y37" s="225"/>
      <c r="Z37" s="225"/>
      <c r="AA37" s="225"/>
      <c r="AB37" s="225"/>
      <c r="AC37" s="225"/>
      <c r="AD37" s="225"/>
      <c r="AE37" s="225"/>
      <c r="AF37" s="225"/>
      <c r="AG37" s="225"/>
      <c r="AH37" s="225"/>
      <c r="AI37" s="225"/>
      <c r="AJ37" s="225"/>
      <c r="AK37" s="225"/>
      <c r="AL37" s="225"/>
      <c r="AM37" s="225"/>
      <c r="AN37" s="225"/>
      <c r="AO37" s="225"/>
      <c r="AP37" s="225"/>
      <c r="AQ37" s="225"/>
      <c r="AR37" s="225"/>
      <c r="AS37" s="225"/>
      <c r="AT37" s="225"/>
      <c r="AU37" s="225"/>
      <c r="AV37" s="225"/>
      <c r="AW37" s="225"/>
      <c r="AX37" s="225"/>
      <c r="AY37" s="225"/>
      <c r="AZ37" s="225"/>
      <c r="BA37" s="225"/>
      <c r="BB37" s="225"/>
      <c r="BC37" s="225"/>
      <c r="BD37" s="225"/>
      <c r="BE37" s="225"/>
      <c r="BF37" s="225"/>
      <c r="BG37" s="225"/>
    </row>
    <row r="38" spans="1:59" x14ac:dyDescent="0.25">
      <c r="A38" s="282"/>
      <c r="B38" s="285">
        <f>B24</f>
        <v>41.26</v>
      </c>
      <c r="C38" s="286">
        <f>C24</f>
        <v>20</v>
      </c>
      <c r="G38" s="572" t="s">
        <v>378</v>
      </c>
      <c r="H38" s="259">
        <v>1442</v>
      </c>
      <c r="I38" s="260">
        <f t="shared" si="20"/>
        <v>23.071999999999999</v>
      </c>
      <c r="J38" s="261">
        <f t="shared" si="23"/>
        <v>4.7255180628319993</v>
      </c>
      <c r="K38" s="573">
        <f t="shared" si="24"/>
        <v>90.02111915080053</v>
      </c>
      <c r="M38" s="222">
        <v>0.25</v>
      </c>
      <c r="N38" s="243">
        <f t="shared" si="26"/>
        <v>70.105489437499998</v>
      </c>
      <c r="O38" s="243">
        <f t="shared" si="27"/>
        <v>114.71807362499999</v>
      </c>
      <c r="P38" s="243">
        <f t="shared" si="28"/>
        <v>178.45033674999999</v>
      </c>
      <c r="Q38" s="243">
        <f t="shared" si="29"/>
        <v>267.67550512500003</v>
      </c>
      <c r="R38" s="243">
        <f t="shared" si="30"/>
        <v>350.5274471875</v>
      </c>
      <c r="S38" s="243">
        <f t="shared" si="31"/>
        <v>701.054894375</v>
      </c>
      <c r="T38" s="243">
        <f t="shared" si="32"/>
        <v>1402.10978875</v>
      </c>
      <c r="U38" s="243">
        <f t="shared" si="33"/>
        <v>2867.9518406249999</v>
      </c>
      <c r="V38" s="243">
        <f t="shared" si="34"/>
        <v>5417.2423656249994</v>
      </c>
      <c r="W38" s="244">
        <f t="shared" si="35"/>
        <v>3876.1067559142821</v>
      </c>
      <c r="X38" s="225"/>
      <c r="Y38" s="225"/>
      <c r="Z38" s="225"/>
      <c r="AA38" s="225"/>
      <c r="AB38" s="225"/>
      <c r="AC38" s="225"/>
      <c r="AD38" s="225"/>
      <c r="AE38" s="225"/>
      <c r="AF38" s="225"/>
      <c r="AG38" s="225"/>
      <c r="AH38" s="225"/>
      <c r="AI38" s="225"/>
      <c r="AJ38" s="225"/>
      <c r="AK38" s="225"/>
      <c r="AL38" s="225"/>
      <c r="AM38" s="225"/>
      <c r="AN38" s="225"/>
      <c r="AO38" s="225"/>
      <c r="AP38" s="225"/>
      <c r="AQ38" s="225"/>
      <c r="AR38" s="225"/>
      <c r="AS38" s="225"/>
      <c r="AT38" s="225"/>
      <c r="AU38" s="225"/>
      <c r="AV38" s="225"/>
      <c r="AW38" s="225"/>
      <c r="AX38" s="225"/>
      <c r="AY38" s="225"/>
      <c r="AZ38" s="225"/>
      <c r="BA38" s="225"/>
      <c r="BB38" s="225"/>
      <c r="BC38" s="225"/>
      <c r="BD38" s="225"/>
      <c r="BE38" s="225"/>
      <c r="BF38" s="225"/>
      <c r="BG38" s="225"/>
    </row>
    <row r="39" spans="1:59" ht="13" x14ac:dyDescent="0.3">
      <c r="A39" s="287" t="s">
        <v>79</v>
      </c>
      <c r="B39" s="288"/>
      <c r="C39" s="278"/>
      <c r="G39" s="556" t="s">
        <v>380</v>
      </c>
      <c r="H39" s="219">
        <v>658</v>
      </c>
      <c r="I39" s="220">
        <f t="shared" si="20"/>
        <v>10.528</v>
      </c>
      <c r="J39" s="221">
        <f t="shared" si="23"/>
        <v>2.1563043587680002</v>
      </c>
      <c r="K39" s="557">
        <f t="shared" si="24"/>
        <v>41.077598059103153</v>
      </c>
      <c r="M39" s="222">
        <v>0.2</v>
      </c>
      <c r="N39" s="243">
        <f t="shared" si="26"/>
        <v>44.867513240000008</v>
      </c>
      <c r="O39" s="243">
        <f t="shared" si="27"/>
        <v>73.419567120000011</v>
      </c>
      <c r="P39" s="243">
        <f t="shared" si="28"/>
        <v>114.20821552000001</v>
      </c>
      <c r="Q39" s="243">
        <f t="shared" si="29"/>
        <v>171.31232328000004</v>
      </c>
      <c r="R39" s="243">
        <f t="shared" si="30"/>
        <v>224.33756620000005</v>
      </c>
      <c r="S39" s="243">
        <f t="shared" si="31"/>
        <v>448.67513240000011</v>
      </c>
      <c r="T39" s="243">
        <f t="shared" si="32"/>
        <v>897.35026480000022</v>
      </c>
      <c r="U39" s="243">
        <f t="shared" si="33"/>
        <v>1835.4891780000003</v>
      </c>
      <c r="V39" s="243">
        <f t="shared" si="34"/>
        <v>3467.0351140000002</v>
      </c>
      <c r="W39" s="244">
        <f t="shared" si="35"/>
        <v>2180.3100502017837</v>
      </c>
      <c r="X39" s="225"/>
      <c r="Y39" s="225"/>
      <c r="Z39" s="225"/>
      <c r="AA39" s="225"/>
      <c r="AB39" s="225"/>
      <c r="AC39" s="225"/>
      <c r="AD39" s="225"/>
      <c r="AE39" s="225"/>
      <c r="AF39" s="225"/>
      <c r="AG39" s="225"/>
      <c r="AH39" s="225"/>
      <c r="AI39" s="225"/>
      <c r="AJ39" s="225"/>
      <c r="AK39" s="225"/>
      <c r="AL39" s="225"/>
      <c r="AM39" s="225"/>
      <c r="AN39" s="225"/>
      <c r="AO39" s="225"/>
      <c r="AP39" s="225"/>
      <c r="AQ39" s="225"/>
      <c r="AR39" s="225"/>
      <c r="AS39" s="225"/>
      <c r="AT39" s="225"/>
      <c r="AU39" s="225"/>
      <c r="AV39" s="225"/>
      <c r="AW39" s="225"/>
      <c r="AX39" s="225"/>
      <c r="AY39" s="225"/>
      <c r="AZ39" s="225"/>
      <c r="BA39" s="225"/>
      <c r="BB39" s="225"/>
      <c r="BC39" s="225"/>
      <c r="BD39" s="225"/>
      <c r="BE39" s="225"/>
      <c r="BF39" s="225"/>
      <c r="BG39" s="225"/>
    </row>
    <row r="40" spans="1:59" ht="15.5" x14ac:dyDescent="0.35">
      <c r="A40" s="289">
        <f>(50/SQRT(B38*C38/1000))*1.61</f>
        <v>88.616842308157942</v>
      </c>
      <c r="B40" s="288"/>
      <c r="C40" s="278"/>
      <c r="G40" s="577" t="s">
        <v>385</v>
      </c>
      <c r="H40" s="226">
        <v>2579</v>
      </c>
      <c r="I40" s="227">
        <f t="shared" si="20"/>
        <v>41.264000000000003</v>
      </c>
      <c r="J40" s="228">
        <f t="shared" si="23"/>
        <v>8.451533345384</v>
      </c>
      <c r="K40" s="559">
        <f t="shared" si="24"/>
        <v>161.00171032587693</v>
      </c>
      <c r="M40" s="222">
        <v>0.15</v>
      </c>
      <c r="N40" s="243">
        <f t="shared" si="26"/>
        <v>25.237976197499997</v>
      </c>
      <c r="O40" s="243">
        <f t="shared" si="27"/>
        <v>41.298506504999992</v>
      </c>
      <c r="P40" s="243">
        <f t="shared" si="28"/>
        <v>64.242121229999995</v>
      </c>
      <c r="Q40" s="243">
        <f t="shared" si="29"/>
        <v>96.363181845000014</v>
      </c>
      <c r="R40" s="243">
        <f t="shared" si="30"/>
        <v>126.18988098749999</v>
      </c>
      <c r="S40" s="243">
        <f t="shared" si="31"/>
        <v>252.37976197499998</v>
      </c>
      <c r="T40" s="243">
        <f t="shared" si="32"/>
        <v>504.75952394999996</v>
      </c>
      <c r="U40" s="243">
        <f t="shared" si="33"/>
        <v>1032.4626626249999</v>
      </c>
      <c r="V40" s="243">
        <f t="shared" si="34"/>
        <v>1950.2072516249998</v>
      </c>
      <c r="W40" s="244">
        <f t="shared" si="35"/>
        <v>1226.4244032385034</v>
      </c>
      <c r="X40" s="225"/>
      <c r="Y40" s="225"/>
      <c r="Z40" s="225"/>
      <c r="AA40" s="225"/>
      <c r="AB40" s="225"/>
      <c r="AC40" s="225"/>
      <c r="AD40" s="225"/>
      <c r="AE40" s="225"/>
      <c r="AF40" s="225"/>
      <c r="AG40" s="225"/>
      <c r="AH40" s="225"/>
      <c r="AI40" s="225"/>
      <c r="AJ40" s="225"/>
      <c r="AK40" s="225"/>
      <c r="AL40" s="225"/>
      <c r="AM40" s="225"/>
      <c r="AN40" s="225"/>
      <c r="AO40" s="225"/>
      <c r="AP40" s="225"/>
      <c r="AQ40" s="225"/>
      <c r="AR40" s="225"/>
      <c r="AS40" s="225"/>
      <c r="AT40" s="225"/>
      <c r="AU40" s="225"/>
      <c r="AV40" s="225"/>
      <c r="AW40" s="225"/>
      <c r="AX40" s="225"/>
      <c r="AY40" s="225"/>
      <c r="AZ40" s="225"/>
      <c r="BA40" s="225"/>
      <c r="BB40" s="225"/>
      <c r="BC40" s="225"/>
      <c r="BD40" s="225"/>
      <c r="BE40" s="225"/>
      <c r="BF40" s="225"/>
      <c r="BG40" s="225"/>
    </row>
    <row r="41" spans="1:59" ht="15.5" x14ac:dyDescent="0.35">
      <c r="A41" s="290">
        <f>(SQRT(2))*A40</f>
        <v>125.32314024687486</v>
      </c>
      <c r="B41" s="288"/>
      <c r="C41" s="278"/>
      <c r="G41" s="560" t="s">
        <v>391</v>
      </c>
      <c r="H41" s="230">
        <v>1800</v>
      </c>
      <c r="I41" s="231">
        <f t="shared" si="20"/>
        <v>28.8</v>
      </c>
      <c r="J41" s="232">
        <f t="shared" si="23"/>
        <v>5.8987049328000003</v>
      </c>
      <c r="K41" s="561">
        <f t="shared" si="24"/>
        <v>112.37032903706029</v>
      </c>
      <c r="M41" s="222">
        <v>0.1</v>
      </c>
      <c r="N41" s="243">
        <f t="shared" si="26"/>
        <v>11.216878310000002</v>
      </c>
      <c r="O41" s="243">
        <f t="shared" si="27"/>
        <v>18.354891780000003</v>
      </c>
      <c r="P41" s="243">
        <f t="shared" si="28"/>
        <v>28.552053880000003</v>
      </c>
      <c r="Q41" s="243">
        <f t="shared" si="29"/>
        <v>42.828080820000011</v>
      </c>
      <c r="R41" s="243">
        <f t="shared" si="30"/>
        <v>56.084391550000014</v>
      </c>
      <c r="S41" s="243">
        <f t="shared" si="31"/>
        <v>112.16878310000003</v>
      </c>
      <c r="T41" s="243">
        <f t="shared" si="32"/>
        <v>224.33756620000005</v>
      </c>
      <c r="U41" s="243">
        <f t="shared" si="33"/>
        <v>458.87229450000007</v>
      </c>
      <c r="V41" s="243">
        <f t="shared" si="34"/>
        <v>866.75877850000006</v>
      </c>
      <c r="W41" s="244">
        <f t="shared" si="35"/>
        <v>689.86372682165813</v>
      </c>
      <c r="X41" s="225"/>
      <c r="Y41" s="225"/>
      <c r="Z41" s="225"/>
      <c r="AA41" s="225"/>
      <c r="AB41" s="225"/>
      <c r="AC41" s="225"/>
      <c r="AD41" s="225"/>
      <c r="AE41" s="225"/>
      <c r="AF41" s="225"/>
      <c r="AG41" s="225"/>
      <c r="AH41" s="225"/>
      <c r="AI41" s="225"/>
      <c r="AJ41" s="225"/>
      <c r="AK41" s="225"/>
      <c r="AL41" s="225"/>
      <c r="AM41" s="225"/>
      <c r="AN41" s="225"/>
      <c r="AO41" s="225"/>
      <c r="AP41" s="225"/>
      <c r="AQ41" s="225"/>
      <c r="AR41" s="225"/>
      <c r="AS41" s="225"/>
      <c r="AT41" s="225"/>
      <c r="AU41" s="225"/>
      <c r="AV41" s="225"/>
      <c r="AW41" s="225"/>
      <c r="AX41" s="225"/>
      <c r="AY41" s="225"/>
      <c r="AZ41" s="225"/>
      <c r="BA41" s="225"/>
      <c r="BB41" s="225"/>
      <c r="BC41" s="225"/>
      <c r="BD41" s="225"/>
      <c r="BE41" s="225"/>
      <c r="BF41" s="225"/>
      <c r="BG41" s="225"/>
    </row>
    <row r="42" spans="1:59" ht="16" thickBot="1" x14ac:dyDescent="0.4">
      <c r="A42" s="291"/>
      <c r="B42" s="292"/>
      <c r="C42" s="293"/>
      <c r="G42" s="562" t="s">
        <v>400</v>
      </c>
      <c r="H42" s="236">
        <v>480</v>
      </c>
      <c r="I42" s="237">
        <f t="shared" si="20"/>
        <v>7.68</v>
      </c>
      <c r="J42" s="238">
        <f t="shared" si="23"/>
        <v>1.5729879820799999</v>
      </c>
      <c r="K42" s="563">
        <f t="shared" si="24"/>
        <v>29.965421076549411</v>
      </c>
      <c r="M42" s="222">
        <v>0.05</v>
      </c>
      <c r="N42" s="243">
        <f t="shared" si="26"/>
        <v>2.8042195775000005</v>
      </c>
      <c r="O42" s="243">
        <f t="shared" si="27"/>
        <v>4.5887229450000007</v>
      </c>
      <c r="P42" s="243">
        <f t="shared" si="28"/>
        <v>7.1380134700000006</v>
      </c>
      <c r="Q42" s="243">
        <f t="shared" si="29"/>
        <v>10.707020205000003</v>
      </c>
      <c r="R42" s="243">
        <f t="shared" si="30"/>
        <v>14.021097887500003</v>
      </c>
      <c r="S42" s="243">
        <f t="shared" si="31"/>
        <v>28.042195775000007</v>
      </c>
      <c r="T42" s="243">
        <f t="shared" si="32"/>
        <v>56.084391550000014</v>
      </c>
      <c r="U42" s="243">
        <f t="shared" si="33"/>
        <v>114.71807362500002</v>
      </c>
      <c r="V42" s="243">
        <f t="shared" si="34"/>
        <v>216.68969462500002</v>
      </c>
      <c r="W42" s="244">
        <f t="shared" si="35"/>
        <v>388.04834633718269</v>
      </c>
      <c r="X42" s="225"/>
      <c r="Y42" s="225"/>
      <c r="Z42" s="225"/>
      <c r="AA42" s="225"/>
      <c r="AB42" s="225"/>
      <c r="AC42" s="225"/>
      <c r="AD42" s="225"/>
      <c r="AE42" s="225"/>
      <c r="AF42" s="225"/>
      <c r="AG42" s="225"/>
      <c r="AH42" s="225"/>
      <c r="AI42" s="225"/>
      <c r="AJ42" s="225"/>
      <c r="AK42" s="225"/>
      <c r="AL42" s="225"/>
      <c r="AM42" s="225"/>
      <c r="AN42" s="225"/>
      <c r="AO42" s="225"/>
      <c r="AP42" s="225"/>
      <c r="AQ42" s="225"/>
      <c r="AR42" s="225"/>
      <c r="AS42" s="225"/>
      <c r="AT42" s="225"/>
      <c r="AU42" s="225"/>
      <c r="AV42" s="225"/>
      <c r="AW42" s="225"/>
      <c r="AX42" s="225"/>
      <c r="AY42" s="225"/>
      <c r="AZ42" s="225"/>
      <c r="BA42" s="225"/>
      <c r="BB42" s="225"/>
      <c r="BC42" s="225"/>
      <c r="BD42" s="225"/>
      <c r="BE42" s="225"/>
      <c r="BF42" s="225"/>
      <c r="BG42" s="225"/>
    </row>
    <row r="43" spans="1:59" ht="13" thickBot="1" x14ac:dyDescent="0.3">
      <c r="G43" s="564" t="s">
        <v>416</v>
      </c>
      <c r="H43" s="240">
        <v>1250</v>
      </c>
      <c r="I43" s="241">
        <f t="shared" si="20"/>
        <v>20</v>
      </c>
      <c r="J43" s="242">
        <f t="shared" si="23"/>
        <v>4.0963228699999998</v>
      </c>
      <c r="K43" s="565">
        <f t="shared" si="24"/>
        <v>78.03495072018076</v>
      </c>
      <c r="M43" s="269">
        <v>2.5000000000000001E-2</v>
      </c>
      <c r="N43" s="270">
        <f t="shared" si="26"/>
        <v>0.70105489437500013</v>
      </c>
      <c r="O43" s="270">
        <f t="shared" si="27"/>
        <v>1.1471807362500002</v>
      </c>
      <c r="P43" s="270">
        <f t="shared" si="28"/>
        <v>1.7845033675000002</v>
      </c>
      <c r="Q43" s="270">
        <f t="shared" si="29"/>
        <v>2.6767550512500007</v>
      </c>
      <c r="R43" s="270">
        <f t="shared" si="30"/>
        <v>3.5052744718750009</v>
      </c>
      <c r="S43" s="270">
        <f t="shared" si="31"/>
        <v>7.0105489437500017</v>
      </c>
      <c r="T43" s="270">
        <f t="shared" si="32"/>
        <v>14.021097887500003</v>
      </c>
      <c r="U43" s="270">
        <f t="shared" si="33"/>
        <v>28.679518406250004</v>
      </c>
      <c r="V43" s="270">
        <f t="shared" si="34"/>
        <v>54.172423656250004</v>
      </c>
      <c r="W43" s="271">
        <f t="shared" si="35"/>
        <v>218.27719481466528</v>
      </c>
      <c r="X43" s="225"/>
      <c r="Y43" s="225"/>
      <c r="Z43" s="225"/>
      <c r="AA43" s="225"/>
      <c r="AB43" s="225"/>
      <c r="AC43" s="225"/>
      <c r="AD43" s="225"/>
      <c r="AE43" s="225"/>
      <c r="AF43" s="225"/>
      <c r="AG43" s="225"/>
      <c r="AH43" s="225"/>
      <c r="AI43" s="225"/>
      <c r="AJ43" s="225"/>
      <c r="AK43" s="225"/>
      <c r="AL43" s="225"/>
      <c r="AM43" s="225"/>
      <c r="AN43" s="225"/>
      <c r="AO43" s="225"/>
      <c r="AP43" s="225"/>
      <c r="AQ43" s="225"/>
      <c r="AR43" s="225"/>
      <c r="AS43" s="225"/>
      <c r="AT43" s="225"/>
      <c r="AU43" s="225"/>
      <c r="AV43" s="225"/>
      <c r="AW43" s="225"/>
      <c r="AX43" s="225"/>
      <c r="AY43" s="225"/>
      <c r="AZ43" s="225"/>
      <c r="BA43" s="225"/>
      <c r="BB43" s="225"/>
      <c r="BC43" s="225"/>
      <c r="BD43" s="225"/>
      <c r="BE43" s="225"/>
      <c r="BF43" s="225"/>
      <c r="BG43" s="225"/>
    </row>
    <row r="44" spans="1:59" x14ac:dyDescent="0.25">
      <c r="G44" s="566" t="s">
        <v>417</v>
      </c>
      <c r="H44" s="247">
        <v>2800</v>
      </c>
      <c r="I44" s="248">
        <f t="shared" si="20"/>
        <v>44.8</v>
      </c>
      <c r="J44" s="249">
        <f t="shared" si="23"/>
        <v>9.1757632287999993</v>
      </c>
      <c r="K44" s="567">
        <f t="shared" si="24"/>
        <v>174.7982896132049</v>
      </c>
      <c r="P44" s="225"/>
      <c r="Q44" s="225"/>
      <c r="R44" s="225"/>
      <c r="S44" s="225"/>
      <c r="T44" s="225"/>
      <c r="U44" s="225"/>
      <c r="V44" s="225"/>
      <c r="W44" s="225"/>
      <c r="X44" s="225"/>
      <c r="Y44" s="225"/>
      <c r="Z44" s="225"/>
      <c r="AA44" s="225"/>
      <c r="AB44" s="225"/>
      <c r="AC44" s="225"/>
      <c r="AD44" s="225"/>
      <c r="AE44" s="225"/>
      <c r="AF44" s="225"/>
      <c r="AG44" s="225"/>
      <c r="AH44" s="225"/>
      <c r="AI44" s="225"/>
      <c r="AJ44" s="225"/>
      <c r="AK44" s="225"/>
      <c r="AL44" s="225"/>
      <c r="AM44" s="225"/>
      <c r="AN44" s="225"/>
      <c r="AO44" s="225"/>
      <c r="AP44" s="225"/>
      <c r="AQ44" s="225"/>
      <c r="AR44" s="225"/>
      <c r="AS44" s="225"/>
      <c r="AT44" s="225"/>
      <c r="AU44" s="225"/>
      <c r="AV44" s="225"/>
      <c r="AW44" s="225"/>
      <c r="AX44" s="225"/>
      <c r="AY44" s="225"/>
      <c r="AZ44" s="225"/>
      <c r="BA44" s="225"/>
      <c r="BB44" s="225"/>
      <c r="BC44" s="225"/>
      <c r="BD44" s="225"/>
      <c r="BE44" s="225"/>
      <c r="BF44" s="225"/>
      <c r="BG44" s="225"/>
    </row>
    <row r="45" spans="1:59" x14ac:dyDescent="0.25">
      <c r="G45" s="568" t="s">
        <v>419</v>
      </c>
      <c r="H45" s="250">
        <v>11389</v>
      </c>
      <c r="I45" s="251">
        <f t="shared" si="20"/>
        <v>182.22399999999999</v>
      </c>
      <c r="J45" s="252">
        <f t="shared" si="23"/>
        <v>37.322416933143998</v>
      </c>
      <c r="K45" s="569">
        <f t="shared" si="24"/>
        <v>710.99204300171095</v>
      </c>
      <c r="L45" s="225"/>
      <c r="P45" s="225"/>
      <c r="Q45" s="225"/>
      <c r="R45" s="225"/>
      <c r="S45" s="225"/>
      <c r="T45" s="225"/>
      <c r="U45" s="225"/>
      <c r="V45" s="225"/>
      <c r="W45" s="225"/>
      <c r="X45" s="225"/>
      <c r="Y45" s="225"/>
      <c r="Z45" s="225"/>
      <c r="AA45" s="225"/>
      <c r="AB45" s="225"/>
      <c r="AC45" s="225"/>
    </row>
    <row r="46" spans="1:59" x14ac:dyDescent="0.25">
      <c r="G46" s="570" t="s">
        <v>424</v>
      </c>
      <c r="H46" s="254">
        <v>60</v>
      </c>
      <c r="I46" s="255">
        <f t="shared" si="20"/>
        <v>0.96</v>
      </c>
      <c r="J46" s="256">
        <f t="shared" si="23"/>
        <v>0.19662349775999999</v>
      </c>
      <c r="K46" s="571">
        <f t="shared" si="24"/>
        <v>3.7456776345686764</v>
      </c>
      <c r="L46" s="225"/>
      <c r="M46" s="225"/>
      <c r="N46" s="225"/>
      <c r="O46" s="225"/>
      <c r="P46" s="225"/>
      <c r="Q46" s="225"/>
      <c r="R46" s="225"/>
      <c r="S46" s="225"/>
      <c r="T46" s="225"/>
      <c r="U46" s="225"/>
      <c r="V46" s="225"/>
      <c r="W46" s="225"/>
      <c r="X46" s="225"/>
      <c r="Y46" s="225"/>
      <c r="Z46" s="225"/>
      <c r="AA46" s="225"/>
      <c r="AB46" s="225"/>
      <c r="AC46" s="225"/>
    </row>
    <row r="47" spans="1:59" x14ac:dyDescent="0.25">
      <c r="G47" s="572" t="s">
        <v>374</v>
      </c>
      <c r="H47" s="259">
        <v>784.86</v>
      </c>
      <c r="I47" s="260">
        <f t="shared" si="20"/>
        <v>12.55776</v>
      </c>
      <c r="J47" s="261">
        <f t="shared" si="23"/>
        <v>2.57203197419856</v>
      </c>
      <c r="K47" s="573">
        <f t="shared" si="24"/>
        <v>48.997209137792851</v>
      </c>
      <c r="L47" s="225"/>
      <c r="M47" s="225"/>
      <c r="N47" s="225"/>
      <c r="O47" s="225"/>
      <c r="P47" s="225"/>
      <c r="Q47" s="225"/>
      <c r="R47" s="225"/>
      <c r="S47" s="225"/>
      <c r="T47" s="225"/>
      <c r="U47" s="225"/>
      <c r="V47" s="225"/>
      <c r="W47" s="225"/>
      <c r="X47" s="225"/>
      <c r="Y47" s="225"/>
      <c r="Z47" s="225"/>
      <c r="AA47" s="225"/>
      <c r="AB47" s="225"/>
      <c r="AC47" s="225"/>
    </row>
    <row r="48" spans="1:59" x14ac:dyDescent="0.25">
      <c r="G48" s="556" t="s">
        <v>375</v>
      </c>
      <c r="H48" s="219">
        <v>1613.45</v>
      </c>
      <c r="I48" s="220">
        <f t="shared" si="20"/>
        <v>25.815200000000001</v>
      </c>
      <c r="J48" s="221">
        <f t="shared" si="23"/>
        <v>5.2873697076811998</v>
      </c>
      <c r="K48" s="557">
        <f t="shared" si="24"/>
        <v>100.72439299158052</v>
      </c>
      <c r="L48" s="225"/>
      <c r="M48" s="225"/>
      <c r="N48" s="225"/>
      <c r="O48" s="225"/>
      <c r="P48" s="225"/>
      <c r="Q48" s="225"/>
      <c r="R48" s="225"/>
      <c r="S48" s="225"/>
      <c r="T48" s="225"/>
      <c r="U48" s="225"/>
      <c r="V48" s="225"/>
      <c r="W48" s="225"/>
      <c r="X48" s="225"/>
      <c r="Y48" s="225"/>
      <c r="Z48" s="225"/>
      <c r="AA48" s="225"/>
      <c r="AB48" s="225"/>
      <c r="AC48" s="225"/>
    </row>
    <row r="49" spans="1:30" x14ac:dyDescent="0.25">
      <c r="G49" s="558" t="s">
        <v>468</v>
      </c>
      <c r="H49" s="226">
        <v>940</v>
      </c>
      <c r="I49" s="227">
        <f t="shared" si="20"/>
        <v>15.04</v>
      </c>
      <c r="J49" s="228">
        <f t="shared" si="23"/>
        <v>3.0804347982399998</v>
      </c>
      <c r="K49" s="559">
        <f t="shared" si="24"/>
        <v>58.682282941575934</v>
      </c>
      <c r="L49" s="225"/>
      <c r="M49" s="225"/>
      <c r="N49" s="225"/>
      <c r="O49" s="225"/>
      <c r="P49" s="225"/>
      <c r="Q49" s="225"/>
      <c r="R49" s="225"/>
      <c r="S49" s="225"/>
      <c r="T49" s="225"/>
      <c r="U49" s="225"/>
      <c r="V49" s="225"/>
      <c r="W49" s="225"/>
      <c r="X49" s="225"/>
      <c r="Y49" s="225"/>
      <c r="Z49" s="225"/>
      <c r="AA49" s="225"/>
      <c r="AB49" s="225"/>
      <c r="AC49" s="225"/>
    </row>
    <row r="50" spans="1:30" x14ac:dyDescent="0.25">
      <c r="G50" s="560" t="s">
        <v>557</v>
      </c>
      <c r="H50" s="230">
        <v>1299</v>
      </c>
      <c r="I50" s="231">
        <f t="shared" si="20"/>
        <v>20.783999999999999</v>
      </c>
      <c r="J50" s="232">
        <f t="shared" si="23"/>
        <v>4.2568987265039997</v>
      </c>
      <c r="K50" s="561">
        <f t="shared" si="24"/>
        <v>81.09392078841185</v>
      </c>
      <c r="L50" s="225"/>
      <c r="M50" s="225"/>
      <c r="N50" s="225"/>
      <c r="O50" s="225">
        <f>60+38.1+18+50.8+12.7</f>
        <v>179.59999999999997</v>
      </c>
      <c r="P50" s="225"/>
      <c r="Q50" s="225"/>
      <c r="R50" s="225"/>
      <c r="S50" s="225"/>
      <c r="T50" s="225"/>
      <c r="U50" s="225"/>
      <c r="V50" s="225"/>
      <c r="W50" s="225"/>
      <c r="X50" s="225"/>
      <c r="Y50" s="225"/>
      <c r="Z50" s="225"/>
      <c r="AA50" s="225"/>
      <c r="AB50" s="225"/>
      <c r="AC50" s="225"/>
    </row>
    <row r="51" spans="1:30" x14ac:dyDescent="0.25">
      <c r="G51" s="572" t="s">
        <v>833</v>
      </c>
      <c r="H51" s="230">
        <v>929</v>
      </c>
      <c r="I51" s="231">
        <f t="shared" si="20"/>
        <v>14.864000000000001</v>
      </c>
      <c r="J51" s="232">
        <f t="shared" ref="J51:J54" si="36">I51*0.2048161435</f>
        <v>3.044387156984</v>
      </c>
      <c r="K51" s="561">
        <f t="shared" ref="K51:K54" si="37">(H51*(2.20462262184877))/35.3146667214885</f>
        <v>57.995575375238346</v>
      </c>
      <c r="L51" s="225"/>
      <c r="M51" s="225"/>
      <c r="N51" s="225"/>
      <c r="O51" s="225"/>
      <c r="P51" s="225"/>
      <c r="Q51" s="225"/>
      <c r="R51" s="225"/>
      <c r="S51" s="225"/>
      <c r="T51" s="225"/>
      <c r="U51" s="225"/>
      <c r="V51" s="225"/>
      <c r="W51" s="225"/>
      <c r="X51" s="225"/>
      <c r="Y51" s="225"/>
      <c r="Z51" s="225"/>
      <c r="AA51" s="225"/>
      <c r="AB51" s="225"/>
      <c r="AC51" s="225"/>
    </row>
    <row r="52" spans="1:30" x14ac:dyDescent="0.25">
      <c r="G52" s="556" t="s">
        <v>834</v>
      </c>
      <c r="H52" s="230">
        <v>849</v>
      </c>
      <c r="I52" s="231">
        <f t="shared" ref="I52:I73" si="38">$H52*I$8/1000</f>
        <v>13.584</v>
      </c>
      <c r="J52" s="232">
        <f t="shared" si="36"/>
        <v>2.7822224933039998</v>
      </c>
      <c r="K52" s="561">
        <f t="shared" si="37"/>
        <v>53.001338529146764</v>
      </c>
      <c r="L52" s="225"/>
      <c r="M52" s="225"/>
      <c r="N52" s="225"/>
      <c r="O52" s="225"/>
      <c r="P52" s="225"/>
      <c r="Q52" s="225"/>
      <c r="R52" s="225"/>
      <c r="S52" s="225"/>
      <c r="T52" s="225"/>
      <c r="U52" s="225"/>
      <c r="V52" s="225"/>
      <c r="W52" s="225"/>
      <c r="X52" s="225"/>
      <c r="Y52" s="225"/>
      <c r="Z52" s="225"/>
      <c r="AA52" s="225"/>
      <c r="AB52" s="225"/>
      <c r="AC52" s="225"/>
    </row>
    <row r="53" spans="1:30" x14ac:dyDescent="0.25">
      <c r="G53" s="578" t="s">
        <v>864</v>
      </c>
      <c r="H53" s="230">
        <v>1125</v>
      </c>
      <c r="I53" s="231">
        <f t="shared" si="38"/>
        <v>18</v>
      </c>
      <c r="J53" s="232">
        <f t="shared" si="36"/>
        <v>3.6866905829999999</v>
      </c>
      <c r="K53" s="561">
        <f t="shared" si="37"/>
        <v>70.231455648162679</v>
      </c>
      <c r="L53" s="225"/>
      <c r="M53" s="225"/>
      <c r="N53" s="225"/>
      <c r="O53" s="225"/>
      <c r="P53" s="225"/>
      <c r="Q53" s="225"/>
      <c r="R53" s="225"/>
      <c r="S53" s="225"/>
      <c r="T53" s="225"/>
      <c r="U53" s="225"/>
      <c r="V53" s="225"/>
      <c r="W53" s="225"/>
      <c r="X53" s="225"/>
      <c r="Y53" s="225"/>
      <c r="Z53" s="225"/>
      <c r="AA53" s="225"/>
      <c r="AB53" s="225"/>
      <c r="AC53" s="225"/>
    </row>
    <row r="54" spans="1:30" x14ac:dyDescent="0.25">
      <c r="G54" s="579" t="s">
        <v>865</v>
      </c>
      <c r="H54" s="230">
        <v>1045</v>
      </c>
      <c r="I54" s="231">
        <f t="shared" si="38"/>
        <v>16.72</v>
      </c>
      <c r="J54" s="232">
        <f t="shared" si="36"/>
        <v>3.4245259193199997</v>
      </c>
      <c r="K54" s="561">
        <f t="shared" si="37"/>
        <v>65.237218802071112</v>
      </c>
      <c r="L54" s="225"/>
      <c r="M54" s="225"/>
      <c r="N54" s="225"/>
      <c r="O54" s="225"/>
      <c r="P54" s="225"/>
      <c r="Q54" s="225"/>
      <c r="R54" s="225"/>
      <c r="S54" s="225"/>
      <c r="T54" s="225"/>
      <c r="U54" s="225"/>
      <c r="V54" s="225"/>
      <c r="W54" s="225"/>
      <c r="X54" s="225"/>
      <c r="Y54" s="225"/>
      <c r="Z54" s="225"/>
      <c r="AA54" s="225"/>
      <c r="AB54" s="225"/>
      <c r="AC54" s="225"/>
      <c r="AD54" s="225"/>
    </row>
    <row r="55" spans="1:30" x14ac:dyDescent="0.25">
      <c r="G55" s="580" t="s">
        <v>780</v>
      </c>
      <c r="H55" s="236">
        <v>1150</v>
      </c>
      <c r="I55" s="237">
        <f t="shared" si="38"/>
        <v>18.399999999999999</v>
      </c>
      <c r="J55" s="238">
        <f>I55*0.2048161435</f>
        <v>3.7686170403999997</v>
      </c>
      <c r="K55" s="563">
        <f>(H55*(2.20462262184877))/35.3146667214885</f>
        <v>71.79215466256629</v>
      </c>
      <c r="L55" s="225"/>
      <c r="M55" s="225"/>
      <c r="N55" s="225"/>
      <c r="O55" s="225"/>
      <c r="P55" s="225"/>
      <c r="Q55" s="225"/>
      <c r="R55" s="225"/>
      <c r="S55" s="225"/>
      <c r="T55" s="225"/>
      <c r="U55" s="225"/>
      <c r="V55" s="225"/>
      <c r="W55" s="225"/>
      <c r="X55" s="225"/>
      <c r="Y55" s="225"/>
      <c r="Z55" s="225"/>
      <c r="AA55" s="225"/>
      <c r="AB55" s="225"/>
      <c r="AC55" s="225"/>
      <c r="AD55" s="225"/>
    </row>
    <row r="56" spans="1:30" x14ac:dyDescent="0.25">
      <c r="G56" s="566" t="s">
        <v>781</v>
      </c>
      <c r="H56" s="247">
        <v>1200</v>
      </c>
      <c r="I56" s="248">
        <f t="shared" si="38"/>
        <v>19.2</v>
      </c>
      <c r="J56" s="249">
        <f t="shared" ref="J56:J60" si="39">I56*0.2048161435</f>
        <v>3.9324699551999998</v>
      </c>
      <c r="K56" s="567">
        <f t="shared" ref="K56:K60" si="40">(H56*(2.20462262184877))/35.3146667214885</f>
        <v>74.913552691373525</v>
      </c>
      <c r="L56" s="225"/>
      <c r="M56" s="225"/>
      <c r="N56" s="225"/>
      <c r="O56" s="225"/>
      <c r="P56" s="225"/>
      <c r="Q56" s="225"/>
      <c r="R56" s="225"/>
      <c r="S56" s="225"/>
      <c r="T56" s="225"/>
      <c r="U56" s="225"/>
      <c r="V56" s="225"/>
      <c r="W56" s="225"/>
      <c r="X56" s="225"/>
      <c r="Y56" s="225"/>
      <c r="Z56" s="225"/>
      <c r="AA56" s="225"/>
      <c r="AB56" s="225"/>
      <c r="AC56" s="225"/>
      <c r="AD56" s="225"/>
    </row>
    <row r="57" spans="1:30" x14ac:dyDescent="0.25">
      <c r="G57" s="568" t="s">
        <v>782</v>
      </c>
      <c r="H57" s="250">
        <v>1900</v>
      </c>
      <c r="I57" s="251">
        <f t="shared" si="38"/>
        <v>30.4</v>
      </c>
      <c r="J57" s="252">
        <f t="shared" si="39"/>
        <v>6.2264107623999996</v>
      </c>
      <c r="K57" s="569">
        <f t="shared" si="40"/>
        <v>118.61312509467474</v>
      </c>
      <c r="L57" s="225"/>
      <c r="M57" s="225"/>
      <c r="N57" s="225"/>
      <c r="O57" s="225"/>
      <c r="P57" s="225"/>
      <c r="Q57" s="225"/>
      <c r="R57" s="225"/>
      <c r="S57" s="225"/>
      <c r="T57" s="225"/>
      <c r="U57" s="225"/>
      <c r="V57" s="225"/>
      <c r="W57" s="225"/>
      <c r="Z57" s="225"/>
      <c r="AA57" s="225"/>
      <c r="AB57" s="225"/>
      <c r="AC57" s="225"/>
      <c r="AD57" s="225"/>
    </row>
    <row r="58" spans="1:30" x14ac:dyDescent="0.25">
      <c r="G58" s="570" t="s">
        <v>783</v>
      </c>
      <c r="H58" s="254">
        <v>1466.7</v>
      </c>
      <c r="I58" s="255">
        <f t="shared" si="38"/>
        <v>23.467200000000002</v>
      </c>
      <c r="J58" s="256">
        <f t="shared" si="39"/>
        <v>4.8064614027432002</v>
      </c>
      <c r="K58" s="571">
        <f t="shared" si="40"/>
        <v>91.563089777031294</v>
      </c>
      <c r="L58" s="225"/>
      <c r="M58" s="225"/>
      <c r="N58" s="225"/>
      <c r="O58" s="225"/>
      <c r="P58" s="225"/>
      <c r="Q58" s="225"/>
      <c r="R58" s="225"/>
      <c r="S58" s="225"/>
      <c r="T58" s="225"/>
      <c r="U58" s="225"/>
      <c r="V58" s="225"/>
      <c r="W58" s="225"/>
      <c r="Z58" s="225"/>
      <c r="AA58" s="225"/>
      <c r="AB58" s="225"/>
      <c r="AC58" s="225"/>
      <c r="AD58" s="225"/>
    </row>
    <row r="59" spans="1:30" x14ac:dyDescent="0.25">
      <c r="G59" s="572" t="s">
        <v>784</v>
      </c>
      <c r="H59" s="259">
        <v>1568.2</v>
      </c>
      <c r="I59" s="260">
        <f t="shared" si="38"/>
        <v>25.091200000000001</v>
      </c>
      <c r="J59" s="261">
        <f t="shared" si="39"/>
        <v>5.1390828197872001</v>
      </c>
      <c r="K59" s="573">
        <f t="shared" si="40"/>
        <v>97.899527775509966</v>
      </c>
    </row>
    <row r="60" spans="1:30" x14ac:dyDescent="0.25">
      <c r="G60" s="556" t="s">
        <v>785</v>
      </c>
      <c r="H60" s="219">
        <v>1320</v>
      </c>
      <c r="I60" s="220">
        <f t="shared" si="38"/>
        <v>21.12</v>
      </c>
      <c r="J60" s="221">
        <f t="shared" si="39"/>
        <v>4.3257169507200004</v>
      </c>
      <c r="K60" s="557">
        <f t="shared" si="40"/>
        <v>82.404907960510869</v>
      </c>
    </row>
    <row r="61" spans="1:30" x14ac:dyDescent="0.25">
      <c r="G61" s="558" t="s">
        <v>786</v>
      </c>
      <c r="H61" s="226">
        <v>705</v>
      </c>
      <c r="I61" s="227">
        <f t="shared" si="38"/>
        <v>11.28</v>
      </c>
      <c r="J61" s="228">
        <f t="shared" ref="J61:J64" si="41">I61*0.2048161435</f>
        <v>2.3103260986799996</v>
      </c>
      <c r="K61" s="559">
        <f t="shared" ref="K61:K64" si="42">(H61*(2.20462262184877))/35.3146667214885</f>
        <v>44.011712206181947</v>
      </c>
    </row>
    <row r="62" spans="1:30" ht="13" x14ac:dyDescent="0.3">
      <c r="A62" s="205" t="s">
        <v>89</v>
      </c>
      <c r="E62" s="218">
        <v>1.61</v>
      </c>
      <c r="F62" s="218"/>
      <c r="G62" s="560" t="s">
        <v>794</v>
      </c>
      <c r="H62" s="230">
        <v>1350</v>
      </c>
      <c r="I62" s="231">
        <f t="shared" si="38"/>
        <v>21.6</v>
      </c>
      <c r="J62" s="232">
        <f t="shared" si="41"/>
        <v>4.4240286996</v>
      </c>
      <c r="K62" s="561">
        <f t="shared" si="42"/>
        <v>84.277746777795215</v>
      </c>
    </row>
    <row r="63" spans="1:30" x14ac:dyDescent="0.25">
      <c r="A63" s="901" t="s">
        <v>630</v>
      </c>
      <c r="B63" s="902"/>
      <c r="C63" s="902"/>
      <c r="D63" s="902"/>
      <c r="G63" s="581" t="s">
        <v>866</v>
      </c>
      <c r="H63" s="259">
        <v>2101.3921723141498</v>
      </c>
      <c r="I63" s="260">
        <f t="shared" si="38"/>
        <v>33.622274757026396</v>
      </c>
      <c r="J63" s="261">
        <f t="shared" si="41"/>
        <v>6.8863846514315457</v>
      </c>
      <c r="K63" s="573">
        <f t="shared" si="42"/>
        <v>131.18562768824663</v>
      </c>
    </row>
    <row r="64" spans="1:30" x14ac:dyDescent="0.25">
      <c r="A64" s="901"/>
      <c r="B64" s="902"/>
      <c r="C64" s="902"/>
      <c r="D64" s="902"/>
      <c r="F64" s="218"/>
      <c r="G64" s="564" t="s">
        <v>795</v>
      </c>
      <c r="H64" s="240">
        <v>1100</v>
      </c>
      <c r="I64" s="241">
        <f t="shared" si="38"/>
        <v>17.600000000000001</v>
      </c>
      <c r="J64" s="242">
        <f t="shared" si="41"/>
        <v>3.6047641256</v>
      </c>
      <c r="K64" s="565">
        <f t="shared" si="42"/>
        <v>68.670756633759069</v>
      </c>
    </row>
    <row r="65" spans="1:30" x14ac:dyDescent="0.25">
      <c r="A65" s="901"/>
      <c r="B65" s="902"/>
      <c r="C65" s="902"/>
      <c r="D65" s="902"/>
      <c r="G65" s="558" t="s">
        <v>826</v>
      </c>
      <c r="H65" s="226">
        <v>12.233768962488</v>
      </c>
      <c r="I65" s="227">
        <f t="shared" si="38"/>
        <v>0.195740303399808</v>
      </c>
      <c r="J65" s="228">
        <f t="shared" ref="J65:J71" si="43">I65*0.2048161435</f>
        <v>4.0090774069868614E-2</v>
      </c>
      <c r="K65" s="559">
        <f t="shared" ref="K65:K71" si="44">(H65*(2.20462262184877))/35.3146667214885</f>
        <v>0.76372924648786233</v>
      </c>
    </row>
    <row r="66" spans="1:30" x14ac:dyDescent="0.25">
      <c r="A66" s="208"/>
      <c r="F66" s="218"/>
      <c r="G66" s="568" t="s">
        <v>827</v>
      </c>
      <c r="H66" s="250">
        <v>23.06664</v>
      </c>
      <c r="I66" s="251">
        <f t="shared" si="38"/>
        <v>0.36906623999999999</v>
      </c>
      <c r="J66" s="252">
        <f t="shared" si="43"/>
        <v>7.5590723972845442E-2</v>
      </c>
      <c r="K66" s="569">
        <f t="shared" si="44"/>
        <v>1.44000329254412</v>
      </c>
    </row>
    <row r="67" spans="1:30" ht="13" x14ac:dyDescent="0.3">
      <c r="A67" s="205" t="s">
        <v>90</v>
      </c>
      <c r="B67" s="218"/>
      <c r="C67" s="218"/>
      <c r="D67" s="218"/>
      <c r="E67" s="218"/>
      <c r="G67" s="570" t="s">
        <v>828</v>
      </c>
      <c r="H67" s="254">
        <v>7850</v>
      </c>
      <c r="I67" s="255">
        <f t="shared" si="38"/>
        <v>125.6</v>
      </c>
      <c r="J67" s="256">
        <f t="shared" si="43"/>
        <v>25.724907623599996</v>
      </c>
      <c r="K67" s="571">
        <f t="shared" si="44"/>
        <v>490.05949052273513</v>
      </c>
    </row>
    <row r="68" spans="1:30" ht="13.75" customHeight="1" x14ac:dyDescent="0.25">
      <c r="A68" s="935" t="s">
        <v>631</v>
      </c>
      <c r="B68" s="936"/>
      <c r="C68" s="936"/>
      <c r="D68" s="936"/>
      <c r="E68" s="936"/>
      <c r="G68" s="556" t="s">
        <v>740</v>
      </c>
      <c r="H68" s="219">
        <v>0.11020000000000001</v>
      </c>
      <c r="I68" s="220">
        <f t="shared" si="38"/>
        <v>1.7632000000000001E-3</v>
      </c>
      <c r="J68" s="221">
        <f t="shared" si="43"/>
        <v>3.6113182421919999E-4</v>
      </c>
      <c r="K68" s="582">
        <f t="shared" si="44"/>
        <v>6.8795612554911354E-3</v>
      </c>
    </row>
    <row r="69" spans="1:30" x14ac:dyDescent="0.25">
      <c r="A69" s="935"/>
      <c r="B69" s="936"/>
      <c r="C69" s="936"/>
      <c r="D69" s="936"/>
      <c r="E69" s="936"/>
      <c r="G69" s="575" t="s">
        <v>829</v>
      </c>
      <c r="H69" s="226">
        <v>1200</v>
      </c>
      <c r="I69" s="227">
        <f t="shared" si="38"/>
        <v>19.2</v>
      </c>
      <c r="J69" s="228">
        <f t="shared" si="43"/>
        <v>3.9324699551999998</v>
      </c>
      <c r="K69" s="559">
        <f t="shared" si="44"/>
        <v>74.913552691373525</v>
      </c>
    </row>
    <row r="70" spans="1:30" x14ac:dyDescent="0.25">
      <c r="G70" s="560" t="s">
        <v>830</v>
      </c>
      <c r="H70" s="230">
        <v>680</v>
      </c>
      <c r="I70" s="231">
        <f t="shared" si="38"/>
        <v>10.88</v>
      </c>
      <c r="J70" s="232">
        <f t="shared" si="43"/>
        <v>2.2283996412800002</v>
      </c>
      <c r="K70" s="561">
        <f t="shared" si="44"/>
        <v>42.45101319177833</v>
      </c>
    </row>
    <row r="71" spans="1:30" x14ac:dyDescent="0.25">
      <c r="G71" s="562" t="s">
        <v>831</v>
      </c>
      <c r="H71" s="236">
        <v>686</v>
      </c>
      <c r="I71" s="237">
        <f t="shared" si="38"/>
        <v>10.976000000000001</v>
      </c>
      <c r="J71" s="238">
        <f t="shared" si="43"/>
        <v>2.2480619910560002</v>
      </c>
      <c r="K71" s="563">
        <f t="shared" si="44"/>
        <v>42.825580955235196</v>
      </c>
    </row>
    <row r="72" spans="1:30" x14ac:dyDescent="0.25">
      <c r="G72" s="564" t="s">
        <v>832</v>
      </c>
      <c r="H72" s="240">
        <v>1200</v>
      </c>
      <c r="I72" s="241">
        <f t="shared" si="38"/>
        <v>19.2</v>
      </c>
      <c r="J72" s="242">
        <f t="shared" ref="J72" si="45">I72*0.2048161435</f>
        <v>3.9324699551999998</v>
      </c>
      <c r="K72" s="565">
        <f t="shared" ref="K72" si="46">(H72*(2.20462262184877))/35.3146667214885</f>
        <v>74.913552691373525</v>
      </c>
    </row>
    <row r="73" spans="1:30" x14ac:dyDescent="0.25">
      <c r="G73" s="576" t="s">
        <v>930</v>
      </c>
      <c r="H73" s="247">
        <v>2.8964699999999999E-2</v>
      </c>
      <c r="I73" s="248">
        <f t="shared" si="38"/>
        <v>4.6343520000000001E-4</v>
      </c>
      <c r="J73" s="249">
        <f>I73*0.2048161435</f>
        <v>9.4919010426151198E-5</v>
      </c>
      <c r="K73" s="567">
        <f>(H73*(2.20462262184877))/35.3146667214885</f>
        <v>1.8082071496998554E-3</v>
      </c>
    </row>
    <row r="74" spans="1:30" x14ac:dyDescent="0.25">
      <c r="G74" s="611" t="s">
        <v>1527</v>
      </c>
      <c r="H74" s="219">
        <v>1300</v>
      </c>
      <c r="I74" s="220">
        <f t="shared" si="17"/>
        <v>20.8</v>
      </c>
      <c r="J74" s="221">
        <f t="shared" ref="J74:J78" si="47">I74*0.2048161435</f>
        <v>4.2601757848000004</v>
      </c>
      <c r="K74" s="557">
        <f t="shared" ref="K74:K78" si="48">(H74*(2.20462262184877))/35.3146667214885</f>
        <v>81.15634874898798</v>
      </c>
    </row>
    <row r="75" spans="1:30" x14ac:dyDescent="0.25">
      <c r="G75" s="558" t="s">
        <v>468</v>
      </c>
      <c r="H75" s="226">
        <v>940</v>
      </c>
      <c r="I75" s="227">
        <f t="shared" si="17"/>
        <v>15.04</v>
      </c>
      <c r="J75" s="228">
        <f t="shared" si="47"/>
        <v>3.0804347982399998</v>
      </c>
      <c r="K75" s="559">
        <f t="shared" si="48"/>
        <v>58.682282941575934</v>
      </c>
    </row>
    <row r="76" spans="1:30" x14ac:dyDescent="0.25">
      <c r="G76" s="771" t="s">
        <v>803</v>
      </c>
      <c r="H76" s="230">
        <v>7740</v>
      </c>
      <c r="I76" s="231">
        <f t="shared" si="17"/>
        <v>123.84</v>
      </c>
      <c r="J76" s="232">
        <f t="shared" si="47"/>
        <v>25.364431211039999</v>
      </c>
      <c r="K76" s="561">
        <f t="shared" si="48"/>
        <v>483.19241485935925</v>
      </c>
    </row>
    <row r="77" spans="1:30" x14ac:dyDescent="0.25">
      <c r="G77" s="772" t="s">
        <v>802</v>
      </c>
      <c r="H77" s="236">
        <v>7950</v>
      </c>
      <c r="I77" s="237">
        <f t="shared" si="17"/>
        <v>127.2</v>
      </c>
      <c r="J77" s="238">
        <f t="shared" si="47"/>
        <v>26.052613453199999</v>
      </c>
      <c r="K77" s="563">
        <f t="shared" si="48"/>
        <v>496.30228658034963</v>
      </c>
    </row>
    <row r="78" spans="1:30" x14ac:dyDescent="0.25">
      <c r="G78" s="609" t="s">
        <v>1536</v>
      </c>
      <c r="H78" s="240">
        <v>7850</v>
      </c>
      <c r="I78" s="241">
        <f t="shared" si="17"/>
        <v>125.6</v>
      </c>
      <c r="J78" s="242">
        <f t="shared" si="47"/>
        <v>25.724907623599996</v>
      </c>
      <c r="K78" s="565">
        <f t="shared" si="48"/>
        <v>490.05949052273513</v>
      </c>
    </row>
    <row r="79" spans="1:30" x14ac:dyDescent="0.25">
      <c r="B79" s="264" t="s">
        <v>796</v>
      </c>
    </row>
    <row r="80" spans="1:30" s="296" customFormat="1" ht="15.5" x14ac:dyDescent="0.35">
      <c r="A80" s="294" t="s">
        <v>42</v>
      </c>
      <c r="B80" s="295">
        <f>A41</f>
        <v>125.32314024687486</v>
      </c>
      <c r="C80" s="296">
        <v>20</v>
      </c>
      <c r="D80" s="296">
        <v>25</v>
      </c>
      <c r="E80" s="296">
        <v>31.5</v>
      </c>
      <c r="F80" s="296">
        <v>40</v>
      </c>
      <c r="G80" s="296">
        <v>50</v>
      </c>
      <c r="H80" s="296">
        <v>63</v>
      </c>
      <c r="I80" s="296">
        <v>100</v>
      </c>
      <c r="J80" s="296">
        <v>125</v>
      </c>
      <c r="K80" s="296">
        <v>160</v>
      </c>
      <c r="L80" s="296">
        <v>200</v>
      </c>
      <c r="M80" s="296">
        <v>250</v>
      </c>
      <c r="N80" s="296">
        <v>315</v>
      </c>
      <c r="O80" s="296">
        <v>400</v>
      </c>
      <c r="P80" s="296">
        <v>500</v>
      </c>
      <c r="Q80" s="296">
        <v>630</v>
      </c>
      <c r="R80" s="296">
        <v>1000</v>
      </c>
      <c r="S80" s="296">
        <v>1250</v>
      </c>
      <c r="T80" s="296">
        <v>1600</v>
      </c>
      <c r="U80" s="296">
        <v>2000</v>
      </c>
      <c r="V80" s="296">
        <v>2500</v>
      </c>
      <c r="W80" s="296">
        <v>3150</v>
      </c>
      <c r="X80" s="296">
        <v>4000</v>
      </c>
      <c r="Y80" s="296">
        <v>5000</v>
      </c>
      <c r="Z80" s="296">
        <v>6300</v>
      </c>
      <c r="AA80" s="296">
        <v>10000</v>
      </c>
      <c r="AB80" s="296">
        <v>12500</v>
      </c>
      <c r="AC80" s="296">
        <v>16000</v>
      </c>
      <c r="AD80" s="296">
        <v>20000</v>
      </c>
    </row>
    <row r="81" spans="1:38" x14ac:dyDescent="0.25">
      <c r="A81" s="246" t="s">
        <v>797</v>
      </c>
      <c r="B81" s="297">
        <v>-3</v>
      </c>
      <c r="C81" s="297">
        <f>$B$81-4</f>
        <v>-7</v>
      </c>
      <c r="D81" s="297">
        <f>C81-4</f>
        <v>-11</v>
      </c>
      <c r="E81" s="297">
        <f t="shared" ref="E81:G81" si="49">D81-4</f>
        <v>-15</v>
      </c>
      <c r="F81" s="297">
        <f t="shared" si="49"/>
        <v>-19</v>
      </c>
      <c r="G81" s="297">
        <f t="shared" si="49"/>
        <v>-23</v>
      </c>
      <c r="H81" s="297">
        <f t="shared" ref="H81:AD81" si="50">G81-4</f>
        <v>-27</v>
      </c>
      <c r="I81" s="297">
        <f t="shared" si="50"/>
        <v>-31</v>
      </c>
      <c r="J81" s="297">
        <f t="shared" si="50"/>
        <v>-35</v>
      </c>
      <c r="K81" s="297">
        <f t="shared" si="50"/>
        <v>-39</v>
      </c>
      <c r="L81" s="297">
        <f t="shared" si="50"/>
        <v>-43</v>
      </c>
      <c r="M81" s="297">
        <f t="shared" si="50"/>
        <v>-47</v>
      </c>
      <c r="N81" s="297">
        <f t="shared" si="50"/>
        <v>-51</v>
      </c>
      <c r="O81" s="297">
        <f t="shared" si="50"/>
        <v>-55</v>
      </c>
      <c r="P81" s="297">
        <f t="shared" si="50"/>
        <v>-59</v>
      </c>
      <c r="Q81" s="297">
        <f t="shared" si="50"/>
        <v>-63</v>
      </c>
      <c r="R81" s="297">
        <f t="shared" si="50"/>
        <v>-67</v>
      </c>
      <c r="S81" s="297">
        <f t="shared" si="50"/>
        <v>-71</v>
      </c>
      <c r="T81" s="297">
        <f t="shared" si="50"/>
        <v>-75</v>
      </c>
      <c r="U81" s="297">
        <f t="shared" si="50"/>
        <v>-79</v>
      </c>
      <c r="V81" s="297">
        <f t="shared" si="50"/>
        <v>-83</v>
      </c>
      <c r="W81" s="297">
        <f t="shared" si="50"/>
        <v>-87</v>
      </c>
      <c r="X81" s="297">
        <f t="shared" si="50"/>
        <v>-91</v>
      </c>
      <c r="Y81" s="297">
        <f t="shared" si="50"/>
        <v>-95</v>
      </c>
      <c r="Z81" s="297">
        <f t="shared" si="50"/>
        <v>-99</v>
      </c>
      <c r="AA81" s="297">
        <f t="shared" si="50"/>
        <v>-103</v>
      </c>
      <c r="AB81" s="297">
        <f t="shared" si="50"/>
        <v>-107</v>
      </c>
      <c r="AC81" s="297">
        <f t="shared" si="50"/>
        <v>-111</v>
      </c>
      <c r="AD81" s="297">
        <f t="shared" si="50"/>
        <v>-115</v>
      </c>
      <c r="AE81" s="297"/>
      <c r="AF81" s="297"/>
      <c r="AG81" s="297"/>
      <c r="AH81" s="297"/>
      <c r="AI81" s="297"/>
      <c r="AJ81" s="297"/>
      <c r="AK81" s="297"/>
      <c r="AL81" s="297"/>
    </row>
    <row r="82" spans="1:38" x14ac:dyDescent="0.25">
      <c r="A82" s="246" t="s">
        <v>798</v>
      </c>
      <c r="B82" s="297">
        <f>B81</f>
        <v>-3</v>
      </c>
      <c r="C82" s="297">
        <f>$B$82-6</f>
        <v>-9</v>
      </c>
      <c r="D82" s="297">
        <f>C82-6</f>
        <v>-15</v>
      </c>
      <c r="E82" s="297">
        <f t="shared" ref="E82:G82" si="51">D82-6</f>
        <v>-21</v>
      </c>
      <c r="F82" s="297">
        <f t="shared" si="51"/>
        <v>-27</v>
      </c>
      <c r="G82" s="297">
        <f t="shared" si="51"/>
        <v>-33</v>
      </c>
      <c r="H82" s="297">
        <f>G82-6</f>
        <v>-39</v>
      </c>
      <c r="I82" s="297">
        <f t="shared" ref="I82:AD82" si="52">H82-6</f>
        <v>-45</v>
      </c>
      <c r="J82" s="297">
        <f t="shared" si="52"/>
        <v>-51</v>
      </c>
      <c r="K82" s="297">
        <f t="shared" si="52"/>
        <v>-57</v>
      </c>
      <c r="L82" s="297">
        <f t="shared" si="52"/>
        <v>-63</v>
      </c>
      <c r="M82" s="297">
        <f t="shared" si="52"/>
        <v>-69</v>
      </c>
      <c r="N82" s="297">
        <f t="shared" si="52"/>
        <v>-75</v>
      </c>
      <c r="O82" s="297">
        <f t="shared" si="52"/>
        <v>-81</v>
      </c>
      <c r="P82" s="297">
        <f t="shared" si="52"/>
        <v>-87</v>
      </c>
      <c r="Q82" s="297">
        <f t="shared" si="52"/>
        <v>-93</v>
      </c>
      <c r="R82" s="297">
        <f t="shared" si="52"/>
        <v>-99</v>
      </c>
      <c r="S82" s="297">
        <f t="shared" si="52"/>
        <v>-105</v>
      </c>
      <c r="T82" s="297">
        <f t="shared" si="52"/>
        <v>-111</v>
      </c>
      <c r="U82" s="297">
        <f t="shared" si="52"/>
        <v>-117</v>
      </c>
      <c r="V82" s="297">
        <f t="shared" si="52"/>
        <v>-123</v>
      </c>
      <c r="W82" s="297">
        <f t="shared" si="52"/>
        <v>-129</v>
      </c>
      <c r="X82" s="297">
        <f t="shared" si="52"/>
        <v>-135</v>
      </c>
      <c r="Y82" s="297">
        <f t="shared" si="52"/>
        <v>-141</v>
      </c>
      <c r="Z82" s="297">
        <f t="shared" si="52"/>
        <v>-147</v>
      </c>
      <c r="AA82" s="297">
        <f t="shared" si="52"/>
        <v>-153</v>
      </c>
      <c r="AB82" s="297">
        <f t="shared" si="52"/>
        <v>-159</v>
      </c>
      <c r="AC82" s="297">
        <f t="shared" si="52"/>
        <v>-165</v>
      </c>
      <c r="AD82" s="297">
        <f t="shared" si="52"/>
        <v>-171</v>
      </c>
    </row>
    <row r="83" spans="1:38" x14ac:dyDescent="0.25">
      <c r="G83" s="297">
        <f>$B$81-4</f>
        <v>-7</v>
      </c>
      <c r="H83" s="297">
        <f>G83-4</f>
        <v>-11</v>
      </c>
      <c r="I83" s="297">
        <f t="shared" ref="I83" si="53">H83-4</f>
        <v>-15</v>
      </c>
      <c r="J83" s="297">
        <f t="shared" ref="J83" si="54">I83-4</f>
        <v>-19</v>
      </c>
      <c r="K83" s="297">
        <f t="shared" ref="K83:AH83" si="55">J83-4</f>
        <v>-23</v>
      </c>
      <c r="L83" s="297">
        <f t="shared" si="55"/>
        <v>-27</v>
      </c>
      <c r="M83" s="297">
        <f t="shared" si="55"/>
        <v>-31</v>
      </c>
      <c r="N83" s="297">
        <f t="shared" si="55"/>
        <v>-35</v>
      </c>
      <c r="O83" s="297">
        <f t="shared" si="55"/>
        <v>-39</v>
      </c>
      <c r="P83" s="297">
        <f t="shared" si="55"/>
        <v>-43</v>
      </c>
      <c r="Q83" s="297">
        <f t="shared" si="55"/>
        <v>-47</v>
      </c>
      <c r="R83" s="297">
        <f t="shared" si="55"/>
        <v>-51</v>
      </c>
      <c r="S83" s="297">
        <f t="shared" si="55"/>
        <v>-55</v>
      </c>
      <c r="T83" s="297">
        <f t="shared" si="55"/>
        <v>-59</v>
      </c>
      <c r="U83" s="297">
        <f t="shared" si="55"/>
        <v>-63</v>
      </c>
      <c r="V83" s="297">
        <f t="shared" si="55"/>
        <v>-67</v>
      </c>
      <c r="W83" s="297">
        <f t="shared" si="55"/>
        <v>-71</v>
      </c>
      <c r="X83" s="297">
        <f t="shared" si="55"/>
        <v>-75</v>
      </c>
      <c r="Y83" s="297">
        <f t="shared" si="55"/>
        <v>-79</v>
      </c>
      <c r="Z83" s="297">
        <f t="shared" si="55"/>
        <v>-83</v>
      </c>
      <c r="AA83" s="297">
        <f t="shared" si="55"/>
        <v>-87</v>
      </c>
      <c r="AB83" s="297">
        <f t="shared" si="55"/>
        <v>-91</v>
      </c>
      <c r="AC83" s="297">
        <f t="shared" si="55"/>
        <v>-95</v>
      </c>
      <c r="AD83" s="297">
        <f t="shared" si="55"/>
        <v>-99</v>
      </c>
      <c r="AE83" s="297">
        <f t="shared" si="55"/>
        <v>-103</v>
      </c>
      <c r="AF83" s="297">
        <f t="shared" si="55"/>
        <v>-107</v>
      </c>
      <c r="AG83" s="297">
        <f t="shared" si="55"/>
        <v>-111</v>
      </c>
      <c r="AH83" s="297">
        <f t="shared" si="55"/>
        <v>-115</v>
      </c>
    </row>
    <row r="84" spans="1:38" x14ac:dyDescent="0.25">
      <c r="G84" s="297">
        <f>$B$82-6</f>
        <v>-9</v>
      </c>
      <c r="H84" s="297">
        <f>G84-6</f>
        <v>-15</v>
      </c>
      <c r="I84" s="297">
        <f t="shared" ref="I84" si="56">H84-6</f>
        <v>-21</v>
      </c>
      <c r="J84" s="297">
        <f t="shared" ref="J84" si="57">I84-6</f>
        <v>-27</v>
      </c>
      <c r="K84" s="297">
        <f t="shared" ref="K84" si="58">J84-6</f>
        <v>-33</v>
      </c>
      <c r="L84" s="297">
        <f>K84-6</f>
        <v>-39</v>
      </c>
      <c r="M84" s="297">
        <f t="shared" ref="M84" si="59">L84-6</f>
        <v>-45</v>
      </c>
      <c r="N84" s="297">
        <f t="shared" ref="N84" si="60">M84-6</f>
        <v>-51</v>
      </c>
      <c r="O84" s="297">
        <f t="shared" ref="O84" si="61">N84-6</f>
        <v>-57</v>
      </c>
      <c r="P84" s="297">
        <f t="shared" ref="P84" si="62">O84-6</f>
        <v>-63</v>
      </c>
      <c r="Q84" s="297">
        <f t="shared" ref="Q84" si="63">P84-6</f>
        <v>-69</v>
      </c>
      <c r="R84" s="297">
        <f t="shared" ref="R84" si="64">Q84-6</f>
        <v>-75</v>
      </c>
      <c r="S84" s="297">
        <f t="shared" ref="S84" si="65">R84-6</f>
        <v>-81</v>
      </c>
      <c r="T84" s="297">
        <f t="shared" ref="T84" si="66">S84-6</f>
        <v>-87</v>
      </c>
      <c r="U84" s="297">
        <f t="shared" ref="U84" si="67">T84-6</f>
        <v>-93</v>
      </c>
      <c r="V84" s="297">
        <f t="shared" ref="V84" si="68">U84-6</f>
        <v>-99</v>
      </c>
      <c r="W84" s="297">
        <f t="shared" ref="W84" si="69">V84-6</f>
        <v>-105</v>
      </c>
      <c r="X84" s="297">
        <f t="shared" ref="X84" si="70">W84-6</f>
        <v>-111</v>
      </c>
      <c r="Y84" s="297">
        <f t="shared" ref="Y84" si="71">X84-6</f>
        <v>-117</v>
      </c>
      <c r="Z84" s="297">
        <f t="shared" ref="Z84" si="72">Y84-6</f>
        <v>-123</v>
      </c>
      <c r="AA84" s="297">
        <f t="shared" ref="AA84" si="73">Z84-6</f>
        <v>-129</v>
      </c>
      <c r="AB84" s="297">
        <f t="shared" ref="AB84" si="74">AA84-6</f>
        <v>-135</v>
      </c>
      <c r="AC84" s="297">
        <f t="shared" ref="AC84" si="75">AB84-6</f>
        <v>-141</v>
      </c>
      <c r="AD84" s="297">
        <f t="shared" ref="AD84" si="76">AC84-6</f>
        <v>-147</v>
      </c>
      <c r="AE84" s="297">
        <f t="shared" ref="AE84" si="77">AD84-6</f>
        <v>-153</v>
      </c>
      <c r="AF84" s="297">
        <f t="shared" ref="AF84" si="78">AE84-6</f>
        <v>-159</v>
      </c>
      <c r="AG84" s="297">
        <f t="shared" ref="AG84" si="79">AF84-6</f>
        <v>-165</v>
      </c>
      <c r="AH84" s="297">
        <f t="shared" ref="AH84" si="80">AG84-6</f>
        <v>-171</v>
      </c>
    </row>
    <row r="87" spans="1:38" x14ac:dyDescent="0.25">
      <c r="A87" s="208"/>
    </row>
    <row r="90" spans="1:38" x14ac:dyDescent="0.25">
      <c r="A90" s="208"/>
    </row>
    <row r="95" spans="1:38" x14ac:dyDescent="0.25">
      <c r="A95" s="208"/>
    </row>
    <row r="96" spans="1:38" x14ac:dyDescent="0.25">
      <c r="A96" s="208"/>
    </row>
    <row r="97" spans="1:4" ht="15.5" x14ac:dyDescent="0.35">
      <c r="A97" s="298" t="s">
        <v>97</v>
      </c>
    </row>
    <row r="98" spans="1:4" x14ac:dyDescent="0.25">
      <c r="A98" s="208"/>
    </row>
    <row r="99" spans="1:4" x14ac:dyDescent="0.25">
      <c r="A99" s="208"/>
    </row>
    <row r="100" spans="1:4" x14ac:dyDescent="0.25">
      <c r="A100" s="208"/>
    </row>
    <row r="101" spans="1:4" ht="13" thickBot="1" x14ac:dyDescent="0.3"/>
    <row r="102" spans="1:4" ht="15.5" x14ac:dyDescent="0.35">
      <c r="A102" s="939" t="s">
        <v>449</v>
      </c>
      <c r="B102" s="940"/>
      <c r="C102" s="941" t="s">
        <v>626</v>
      </c>
      <c r="D102" s="942"/>
    </row>
    <row r="103" spans="1:4" ht="13" x14ac:dyDescent="0.3">
      <c r="A103" s="299" t="s">
        <v>446</v>
      </c>
      <c r="B103" s="300">
        <f>B104*B105</f>
        <v>13611.6</v>
      </c>
    </row>
    <row r="104" spans="1:4" x14ac:dyDescent="0.25">
      <c r="A104" s="301" t="s">
        <v>447</v>
      </c>
      <c r="B104" s="302">
        <v>40</v>
      </c>
    </row>
    <row r="105" spans="1:4" ht="13" thickBot="1" x14ac:dyDescent="0.3">
      <c r="A105" s="303" t="s">
        <v>448</v>
      </c>
      <c r="B105" s="304">
        <v>340.29</v>
      </c>
    </row>
    <row r="106" spans="1:4" ht="13" thickBot="1" x14ac:dyDescent="0.3"/>
    <row r="107" spans="1:4" ht="15.5" x14ac:dyDescent="0.35">
      <c r="A107" s="939" t="s">
        <v>450</v>
      </c>
      <c r="B107" s="940"/>
      <c r="C107" s="941" t="s">
        <v>627</v>
      </c>
      <c r="D107" s="942"/>
    </row>
    <row r="108" spans="1:4" ht="13" x14ac:dyDescent="0.3">
      <c r="A108" s="299" t="s">
        <v>443</v>
      </c>
      <c r="B108" s="305">
        <f>B110/B109</f>
        <v>340</v>
      </c>
    </row>
    <row r="109" spans="1:4" x14ac:dyDescent="0.25">
      <c r="A109" s="301" t="s">
        <v>447</v>
      </c>
      <c r="B109" s="302">
        <v>40</v>
      </c>
    </row>
    <row r="110" spans="1:4" ht="13" thickBot="1" x14ac:dyDescent="0.3">
      <c r="A110" s="303" t="s">
        <v>451</v>
      </c>
      <c r="B110" s="306">
        <v>13600</v>
      </c>
    </row>
    <row r="112" spans="1:4" ht="13" thickBot="1" x14ac:dyDescent="0.3"/>
    <row r="113" spans="1:25" ht="27" x14ac:dyDescent="1">
      <c r="A113" s="307" t="s">
        <v>1</v>
      </c>
      <c r="B113" s="209"/>
      <c r="C113" s="209"/>
      <c r="D113" s="209"/>
      <c r="E113" s="209"/>
      <c r="F113" s="209"/>
    </row>
    <row r="114" spans="1:25" x14ac:dyDescent="0.25">
      <c r="A114" s="208"/>
      <c r="B114" s="246" t="s">
        <v>98</v>
      </c>
    </row>
    <row r="115" spans="1:25" x14ac:dyDescent="0.25">
      <c r="A115" s="208"/>
      <c r="B115" s="246" t="s">
        <v>99</v>
      </c>
      <c r="F115" s="308"/>
    </row>
    <row r="116" spans="1:25" ht="13" x14ac:dyDescent="0.3">
      <c r="A116" s="309" t="s">
        <v>100</v>
      </c>
      <c r="F116" s="308"/>
      <c r="X116" s="310"/>
      <c r="Y116" s="310"/>
    </row>
    <row r="117" spans="1:25" x14ac:dyDescent="0.25">
      <c r="A117" s="309" t="s">
        <v>101</v>
      </c>
      <c r="F117" s="308"/>
    </row>
    <row r="118" spans="1:25" x14ac:dyDescent="0.25">
      <c r="A118" s="208"/>
      <c r="F118" s="308"/>
    </row>
    <row r="119" spans="1:25" x14ac:dyDescent="0.25">
      <c r="A119" s="311" t="s">
        <v>2</v>
      </c>
      <c r="B119" s="312">
        <v>10.75</v>
      </c>
      <c r="C119" s="937" t="s">
        <v>50</v>
      </c>
      <c r="D119" s="937"/>
      <c r="E119" s="937"/>
      <c r="F119" s="938"/>
    </row>
    <row r="120" spans="1:25" ht="13" x14ac:dyDescent="0.3">
      <c r="A120" s="313" t="s">
        <v>87</v>
      </c>
      <c r="B120" s="314">
        <v>8.8999999999999996E-2</v>
      </c>
      <c r="C120" s="937" t="s">
        <v>51</v>
      </c>
      <c r="D120" s="937"/>
      <c r="E120" s="937"/>
      <c r="F120" s="938"/>
    </row>
    <row r="121" spans="1:25" x14ac:dyDescent="0.25">
      <c r="A121" s="313" t="s">
        <v>92</v>
      </c>
      <c r="B121" s="315"/>
      <c r="C121" s="937" t="s">
        <v>52</v>
      </c>
      <c r="D121" s="937"/>
      <c r="E121" s="937"/>
      <c r="F121" s="938"/>
    </row>
    <row r="122" spans="1:25" ht="13" x14ac:dyDescent="0.3">
      <c r="A122" s="316" t="s">
        <v>3</v>
      </c>
      <c r="B122" s="317">
        <f>60/(SQRT(B119*B120))</f>
        <v>61.341164297870506</v>
      </c>
      <c r="C122" s="937" t="s">
        <v>53</v>
      </c>
      <c r="D122" s="937"/>
      <c r="E122" s="937"/>
      <c r="F122" s="938"/>
    </row>
    <row r="123" spans="1:25" ht="13.5" thickBot="1" x14ac:dyDescent="0.35">
      <c r="A123" s="318" t="s">
        <v>4</v>
      </c>
      <c r="B123" s="319">
        <f>50/(SQRT(B119*B120))</f>
        <v>51.117636914892088</v>
      </c>
      <c r="C123" s="320"/>
      <c r="D123" s="320"/>
      <c r="E123" s="320"/>
      <c r="F123" s="321"/>
    </row>
    <row r="124" spans="1:25" ht="13.5" thickBot="1" x14ac:dyDescent="0.35">
      <c r="A124" s="210"/>
      <c r="B124" s="322"/>
    </row>
    <row r="125" spans="1:25" ht="34" x14ac:dyDescent="1.25">
      <c r="A125" s="922" t="s">
        <v>46</v>
      </c>
      <c r="B125" s="923"/>
      <c r="C125" s="924"/>
      <c r="F125" s="905" t="s">
        <v>26</v>
      </c>
      <c r="G125" s="906"/>
      <c r="H125" s="907"/>
      <c r="I125" s="298"/>
    </row>
    <row r="126" spans="1:25" x14ac:dyDescent="0.25">
      <c r="A126" s="208"/>
      <c r="C126" s="308"/>
      <c r="F126" s="311" t="s">
        <v>27</v>
      </c>
      <c r="G126" s="323">
        <v>22</v>
      </c>
      <c r="H126" s="324">
        <v>1.75</v>
      </c>
    </row>
    <row r="127" spans="1:25" x14ac:dyDescent="0.25">
      <c r="A127" s="311" t="s">
        <v>38</v>
      </c>
      <c r="B127" s="325">
        <v>35</v>
      </c>
      <c r="C127" s="308"/>
      <c r="F127" s="311" t="s">
        <v>28</v>
      </c>
      <c r="G127" s="326">
        <f>G128/((1/G126)*1000)</f>
        <v>0.77</v>
      </c>
      <c r="H127" s="327">
        <f>H128/(1/(H126/12))</f>
        <v>4.274375</v>
      </c>
    </row>
    <row r="128" spans="1:25" x14ac:dyDescent="0.25">
      <c r="A128" s="311" t="s">
        <v>39</v>
      </c>
      <c r="B128" s="328">
        <v>2</v>
      </c>
      <c r="C128" s="308"/>
      <c r="F128" s="311" t="s">
        <v>29</v>
      </c>
      <c r="G128" s="329">
        <v>35</v>
      </c>
      <c r="H128" s="330">
        <v>29.31</v>
      </c>
    </row>
    <row r="129" spans="1:12" x14ac:dyDescent="0.25">
      <c r="A129" s="311" t="s">
        <v>45</v>
      </c>
      <c r="B129" s="331">
        <v>156</v>
      </c>
      <c r="C129" s="308"/>
      <c r="F129" s="313" t="s">
        <v>418</v>
      </c>
      <c r="G129" s="329">
        <v>680.8</v>
      </c>
      <c r="H129" s="332">
        <f>G129*0.062428</f>
        <v>42.500982399999998</v>
      </c>
    </row>
    <row r="130" spans="1:12" ht="13.5" thickBot="1" x14ac:dyDescent="0.35">
      <c r="A130" s="316" t="s">
        <v>40</v>
      </c>
      <c r="B130" s="333">
        <f>(B127*(B128/12))*B129</f>
        <v>910</v>
      </c>
      <c r="C130" s="308"/>
      <c r="F130" s="334" t="s">
        <v>418</v>
      </c>
      <c r="G130" s="335">
        <v>42.5</v>
      </c>
      <c r="H130" s="336">
        <f>G130*16.0184532581533</f>
        <v>680.78426347151526</v>
      </c>
    </row>
    <row r="131" spans="1:12" ht="13" x14ac:dyDescent="0.3">
      <c r="A131" s="301"/>
      <c r="B131" s="315"/>
      <c r="C131" s="308"/>
      <c r="F131" s="908" t="s">
        <v>401</v>
      </c>
      <c r="G131" s="909"/>
      <c r="H131" s="909"/>
      <c r="I131" s="337"/>
      <c r="J131" s="337"/>
      <c r="K131" s="338"/>
    </row>
    <row r="132" spans="1:12" ht="13" x14ac:dyDescent="0.3">
      <c r="A132" s="311" t="s">
        <v>38</v>
      </c>
      <c r="B132" s="339">
        <v>1</v>
      </c>
      <c r="C132" s="308"/>
      <c r="F132" s="340" t="s">
        <v>425</v>
      </c>
      <c r="G132" s="212" t="s">
        <v>9</v>
      </c>
      <c r="H132" s="212" t="s">
        <v>376</v>
      </c>
      <c r="I132" s="212" t="s">
        <v>8</v>
      </c>
      <c r="J132" s="212" t="s">
        <v>377</v>
      </c>
      <c r="K132" s="341" t="s">
        <v>45</v>
      </c>
    </row>
    <row r="133" spans="1:12" x14ac:dyDescent="0.25">
      <c r="A133" s="311" t="s">
        <v>39</v>
      </c>
      <c r="B133" s="342">
        <v>100</v>
      </c>
      <c r="C133" s="308"/>
      <c r="F133" s="299" t="s">
        <v>441</v>
      </c>
      <c r="G133" s="343">
        <v>20</v>
      </c>
      <c r="H133" s="343">
        <v>12.5</v>
      </c>
      <c r="I133" s="343">
        <v>40</v>
      </c>
      <c r="J133" s="344">
        <v>13.2</v>
      </c>
      <c r="K133" s="345">
        <f>(1/((G133/100)*(H133/100)*(I133/100)))*J133</f>
        <v>1319.9999999999998</v>
      </c>
    </row>
    <row r="134" spans="1:12" ht="13" thickBot="1" x14ac:dyDescent="0.3">
      <c r="A134" s="311" t="s">
        <v>45</v>
      </c>
      <c r="B134" s="346">
        <v>797</v>
      </c>
      <c r="C134" s="308"/>
      <c r="F134" s="347" t="s">
        <v>442</v>
      </c>
      <c r="G134" s="348">
        <v>6</v>
      </c>
      <c r="H134" s="348">
        <v>10</v>
      </c>
      <c r="I134" s="348">
        <v>22</v>
      </c>
      <c r="J134" s="349">
        <v>2.0699999999999998</v>
      </c>
      <c r="K134" s="350">
        <f>(1/((G134/100)*(H134/100)*(I134/100)))*J134</f>
        <v>1568.1818181818182</v>
      </c>
    </row>
    <row r="135" spans="1:12" ht="13.5" thickBot="1" x14ac:dyDescent="0.35">
      <c r="A135" s="318" t="s">
        <v>40</v>
      </c>
      <c r="B135" s="351">
        <f>(B132*(B133/1000))*B134</f>
        <v>79.7</v>
      </c>
      <c r="C135" s="352"/>
      <c r="F135" s="908" t="s">
        <v>437</v>
      </c>
      <c r="G135" s="909"/>
      <c r="H135" s="909"/>
      <c r="I135" s="337"/>
      <c r="J135" s="337"/>
      <c r="K135" s="338"/>
      <c r="L135" s="353"/>
    </row>
    <row r="136" spans="1:12" ht="13" x14ac:dyDescent="0.3">
      <c r="F136" s="340" t="s">
        <v>425</v>
      </c>
      <c r="G136" s="212" t="s">
        <v>9</v>
      </c>
      <c r="H136" s="212" t="s">
        <v>376</v>
      </c>
      <c r="I136" s="212" t="s">
        <v>8</v>
      </c>
      <c r="J136" s="212" t="s">
        <v>377</v>
      </c>
      <c r="K136" s="341" t="s">
        <v>45</v>
      </c>
      <c r="L136" s="353"/>
    </row>
    <row r="137" spans="1:12" x14ac:dyDescent="0.25">
      <c r="F137" s="299" t="s">
        <v>441</v>
      </c>
      <c r="G137" s="354">
        <v>1.75</v>
      </c>
      <c r="H137" s="354">
        <v>32</v>
      </c>
      <c r="I137" s="354">
        <v>80</v>
      </c>
      <c r="J137" s="355">
        <v>76</v>
      </c>
      <c r="K137" s="356">
        <f>(1/((G137/12)*(H137/12)*(I137/12)))*J137</f>
        <v>29.314285714285717</v>
      </c>
      <c r="L137" s="353"/>
    </row>
    <row r="138" spans="1:12" ht="13" thickBot="1" x14ac:dyDescent="0.3">
      <c r="F138" s="347" t="s">
        <v>442</v>
      </c>
      <c r="G138" s="357">
        <v>4</v>
      </c>
      <c r="H138" s="357">
        <v>8.5</v>
      </c>
      <c r="I138" s="357">
        <v>17.5</v>
      </c>
      <c r="J138" s="358">
        <v>1.5</v>
      </c>
      <c r="K138" s="359">
        <f>(1/((G138/12)*(H138/12)*(I138/12)))*J138</f>
        <v>4.3563025210084039</v>
      </c>
    </row>
    <row r="139" spans="1:12" ht="34" x14ac:dyDescent="1.25">
      <c r="A139" s="903" t="s">
        <v>381</v>
      </c>
      <c r="B139" s="904"/>
      <c r="C139" s="904"/>
      <c r="D139" s="338"/>
    </row>
    <row r="140" spans="1:12" x14ac:dyDescent="0.25">
      <c r="A140" s="311" t="s">
        <v>382</v>
      </c>
      <c r="B140" s="360">
        <v>0.01</v>
      </c>
      <c r="C140" s="326">
        <f>(B140*0.101971621)*1000000</f>
        <v>1019.7162099999999</v>
      </c>
      <c r="D140" s="361">
        <f>B140*0.101971621</f>
        <v>1.01971621E-3</v>
      </c>
      <c r="E140" s="362"/>
    </row>
    <row r="141" spans="1:12" x14ac:dyDescent="0.25">
      <c r="A141" s="313" t="s">
        <v>383</v>
      </c>
      <c r="B141" s="363">
        <v>150</v>
      </c>
      <c r="C141" s="315"/>
      <c r="D141" s="364"/>
      <c r="E141" s="362"/>
    </row>
    <row r="142" spans="1:12" ht="13" thickBot="1" x14ac:dyDescent="0.3">
      <c r="A142" s="365" t="s">
        <v>384</v>
      </c>
      <c r="B142" s="366">
        <v>255.75</v>
      </c>
      <c r="C142" s="367">
        <f>B142*(1/(B141/1000))</f>
        <v>1705</v>
      </c>
      <c r="D142" s="368" t="s">
        <v>628</v>
      </c>
      <c r="E142" s="362"/>
    </row>
    <row r="145" spans="1:61" x14ac:dyDescent="0.25">
      <c r="X145" s="310"/>
      <c r="Y145" s="310"/>
    </row>
    <row r="146" spans="1:61" ht="13" thickBot="1" x14ac:dyDescent="0.3">
      <c r="I146" s="369"/>
      <c r="J146" s="310"/>
      <c r="K146" s="310"/>
      <c r="L146" s="310"/>
      <c r="T146" s="310"/>
      <c r="U146" s="310"/>
      <c r="V146" s="310"/>
      <c r="W146" s="310"/>
      <c r="X146" s="310"/>
      <c r="Y146" s="310"/>
      <c r="Z146" s="310"/>
      <c r="AA146" s="310"/>
      <c r="AB146" s="310"/>
      <c r="AC146" s="310"/>
      <c r="AD146" s="310"/>
      <c r="AE146" s="310"/>
      <c r="AF146" s="310"/>
      <c r="AG146" s="310"/>
      <c r="AH146" s="310"/>
      <c r="AI146" s="310"/>
      <c r="AJ146" s="310"/>
      <c r="AK146" s="310"/>
      <c r="AL146" s="310"/>
      <c r="AM146" s="310"/>
      <c r="AN146" s="310"/>
      <c r="AO146" s="310"/>
      <c r="AP146" s="310"/>
      <c r="AQ146" s="310"/>
      <c r="AR146" s="310"/>
      <c r="AS146" s="310"/>
      <c r="AT146" s="310"/>
      <c r="AU146" s="310"/>
      <c r="AV146" s="310"/>
      <c r="AW146" s="310"/>
      <c r="AX146" s="310"/>
      <c r="AY146" s="310"/>
      <c r="AZ146" s="310"/>
      <c r="BA146" s="310"/>
      <c r="BB146" s="310"/>
      <c r="BC146" s="310"/>
      <c r="BD146" s="310"/>
      <c r="BE146" s="310"/>
      <c r="BF146" s="310"/>
      <c r="BG146" s="310"/>
      <c r="BH146" s="310"/>
      <c r="BI146" s="310"/>
    </row>
    <row r="147" spans="1:61" ht="40.5" customHeight="1" x14ac:dyDescent="1.45">
      <c r="A147" s="370" t="s">
        <v>411</v>
      </c>
      <c r="B147" s="209"/>
      <c r="C147" s="931" t="s">
        <v>413</v>
      </c>
      <c r="D147" s="371"/>
      <c r="F147" s="925" t="s">
        <v>433</v>
      </c>
      <c r="G147" s="926"/>
      <c r="H147" s="933" t="s">
        <v>435</v>
      </c>
      <c r="K147" s="310"/>
      <c r="L147" s="310"/>
      <c r="M147" s="310"/>
      <c r="N147" s="310"/>
      <c r="O147" s="310"/>
      <c r="P147" s="310"/>
      <c r="Q147" s="310"/>
      <c r="R147" s="310"/>
      <c r="S147" s="310"/>
      <c r="T147" s="310"/>
      <c r="U147" s="310"/>
      <c r="V147" s="310"/>
      <c r="W147" s="310"/>
      <c r="X147" s="310"/>
      <c r="Y147" s="310"/>
      <c r="Z147" s="310"/>
      <c r="AA147" s="310"/>
      <c r="AB147" s="310"/>
      <c r="AC147" s="310"/>
      <c r="AD147" s="310"/>
      <c r="AE147" s="310"/>
      <c r="AF147" s="310"/>
      <c r="AG147" s="310"/>
      <c r="AH147" s="310"/>
      <c r="AI147" s="310"/>
      <c r="AJ147" s="310"/>
      <c r="AK147" s="310"/>
      <c r="AL147" s="310"/>
      <c r="AM147" s="310"/>
      <c r="AN147" s="310"/>
      <c r="AO147" s="310"/>
      <c r="AP147" s="310"/>
      <c r="AQ147" s="310"/>
      <c r="AR147" s="310"/>
      <c r="AS147" s="310"/>
      <c r="AT147" s="310"/>
      <c r="AU147" s="310"/>
      <c r="AV147" s="310"/>
      <c r="AW147" s="310"/>
      <c r="AX147" s="310"/>
      <c r="AY147" s="310"/>
      <c r="AZ147" s="310"/>
      <c r="BA147" s="310"/>
      <c r="BB147" s="310"/>
      <c r="BC147" s="310"/>
      <c r="BD147" s="310"/>
      <c r="BE147" s="310"/>
      <c r="BF147" s="310"/>
      <c r="BG147" s="310"/>
      <c r="BH147" s="310"/>
      <c r="BI147" s="310"/>
    </row>
    <row r="148" spans="1:61" x14ac:dyDescent="0.25">
      <c r="A148" s="208"/>
      <c r="C148" s="932"/>
      <c r="D148" s="308"/>
      <c r="F148" s="301"/>
      <c r="G148" s="315"/>
      <c r="H148" s="934"/>
      <c r="K148" s="310"/>
      <c r="L148" s="310"/>
      <c r="M148" s="310"/>
      <c r="N148" s="310"/>
      <c r="O148" s="310"/>
      <c r="P148" s="310"/>
      <c r="Q148" s="310"/>
      <c r="R148" s="310"/>
      <c r="S148" s="310"/>
      <c r="T148" s="310"/>
      <c r="U148" s="310"/>
      <c r="V148" s="310"/>
      <c r="W148" s="310"/>
      <c r="X148" s="310"/>
      <c r="Y148" s="310"/>
      <c r="Z148" s="310"/>
      <c r="AA148" s="310"/>
      <c r="AB148" s="310"/>
      <c r="AC148" s="310"/>
      <c r="AD148" s="310"/>
      <c r="AE148" s="310"/>
      <c r="AF148" s="310"/>
      <c r="AG148" s="310"/>
      <c r="AH148" s="310"/>
      <c r="AI148" s="310"/>
      <c r="AJ148" s="310"/>
      <c r="AK148" s="310"/>
      <c r="AL148" s="310"/>
      <c r="AM148" s="310"/>
      <c r="AN148" s="310"/>
      <c r="AO148" s="310"/>
      <c r="AP148" s="310"/>
      <c r="AQ148" s="310"/>
      <c r="AR148" s="310"/>
      <c r="AS148" s="310"/>
      <c r="AT148" s="310"/>
      <c r="AU148" s="310"/>
      <c r="AV148" s="310"/>
      <c r="AW148" s="310"/>
      <c r="AX148" s="310"/>
      <c r="AY148" s="310"/>
      <c r="AZ148" s="310"/>
      <c r="BA148" s="310"/>
      <c r="BB148" s="310"/>
      <c r="BC148" s="310"/>
      <c r="BD148" s="310"/>
      <c r="BE148" s="310"/>
      <c r="BF148" s="310"/>
      <c r="BG148" s="310"/>
      <c r="BH148" s="310"/>
      <c r="BI148" s="310"/>
    </row>
    <row r="149" spans="1:61" ht="12.75" customHeight="1" x14ac:dyDescent="0.25">
      <c r="A149" s="313" t="s">
        <v>414</v>
      </c>
      <c r="B149" s="317">
        <f>3.13*SQRT(25.4/B150)</f>
        <v>1.5619283581772985</v>
      </c>
      <c r="C149" s="372">
        <f>(SQRT(2))*B149</f>
        <v>2.2089002675894771</v>
      </c>
      <c r="D149" s="308"/>
      <c r="F149" s="313" t="s">
        <v>558</v>
      </c>
      <c r="G149" s="373">
        <f>(1/360)*G151</f>
        <v>5.1388888888888894E-2</v>
      </c>
      <c r="H149" s="374">
        <f>G149*6</f>
        <v>0.30833333333333335</v>
      </c>
      <c r="K149" s="310"/>
      <c r="L149" s="310"/>
      <c r="M149" s="310"/>
      <c r="N149" s="310"/>
      <c r="O149" s="310"/>
      <c r="P149" s="310"/>
      <c r="Q149" s="310"/>
      <c r="R149" s="310"/>
      <c r="S149" s="310"/>
      <c r="T149" s="310"/>
      <c r="U149" s="310"/>
      <c r="V149" s="310"/>
      <c r="W149" s="310"/>
      <c r="X149" s="310"/>
      <c r="Y149" s="310"/>
      <c r="Z149" s="310"/>
      <c r="AA149" s="310"/>
      <c r="AB149" s="310"/>
      <c r="AC149" s="310"/>
      <c r="AD149" s="310"/>
      <c r="AE149" s="310"/>
      <c r="AF149" s="310"/>
      <c r="AG149" s="310"/>
      <c r="AH149" s="310"/>
      <c r="AI149" s="310"/>
      <c r="AJ149" s="310"/>
      <c r="AK149" s="310"/>
      <c r="AL149" s="310"/>
      <c r="AM149" s="310"/>
      <c r="AN149" s="310"/>
      <c r="AO149" s="310"/>
      <c r="AP149" s="310"/>
      <c r="AQ149" s="310"/>
      <c r="AR149" s="310"/>
      <c r="AS149" s="310"/>
      <c r="AT149" s="310"/>
      <c r="AU149" s="310"/>
      <c r="AV149" s="310"/>
      <c r="AW149" s="310"/>
      <c r="AX149" s="310"/>
      <c r="AY149" s="310"/>
      <c r="AZ149" s="310"/>
      <c r="BA149" s="310"/>
      <c r="BB149" s="310"/>
      <c r="BC149" s="310"/>
      <c r="BD149" s="310"/>
      <c r="BE149" s="310"/>
      <c r="BF149" s="310"/>
      <c r="BG149" s="310"/>
      <c r="BH149" s="310"/>
      <c r="BI149" s="310"/>
    </row>
    <row r="150" spans="1:61" x14ac:dyDescent="0.25">
      <c r="A150" s="313" t="s">
        <v>412</v>
      </c>
      <c r="B150" s="375">
        <v>102</v>
      </c>
      <c r="D150" s="308"/>
      <c r="F150" s="313" t="s">
        <v>559</v>
      </c>
      <c r="G150" s="373">
        <f>(1/240)*G151</f>
        <v>7.7083333333333337E-2</v>
      </c>
      <c r="H150" s="374">
        <f>G150*6</f>
        <v>0.46250000000000002</v>
      </c>
      <c r="K150" s="310"/>
      <c r="L150" s="310"/>
      <c r="M150" s="310"/>
      <c r="N150" s="310"/>
      <c r="O150" s="310"/>
      <c r="P150" s="310"/>
      <c r="Q150" s="310"/>
      <c r="R150" s="310"/>
      <c r="S150" s="310"/>
      <c r="T150" s="310"/>
      <c r="U150" s="310"/>
      <c r="V150" s="310"/>
      <c r="W150" s="310"/>
      <c r="X150" s="310"/>
      <c r="Y150" s="310"/>
      <c r="Z150" s="310"/>
      <c r="AA150" s="310"/>
      <c r="AB150" s="310"/>
      <c r="AC150" s="310"/>
      <c r="AD150" s="310"/>
      <c r="AE150" s="310"/>
      <c r="AF150" s="310"/>
      <c r="AG150" s="310"/>
      <c r="AH150" s="310"/>
      <c r="AI150" s="310"/>
      <c r="AJ150" s="310"/>
      <c r="AK150" s="310"/>
      <c r="AL150" s="310"/>
      <c r="AM150" s="310"/>
      <c r="AN150" s="310"/>
      <c r="AO150" s="310"/>
      <c r="AP150" s="310"/>
      <c r="AQ150" s="310"/>
      <c r="AR150" s="310"/>
      <c r="AS150" s="310"/>
      <c r="AT150" s="310"/>
      <c r="AU150" s="310"/>
      <c r="AV150" s="310"/>
      <c r="AW150" s="310"/>
      <c r="AX150" s="310"/>
      <c r="AY150" s="310"/>
      <c r="AZ150" s="310"/>
      <c r="BA150" s="310"/>
      <c r="BB150" s="310"/>
      <c r="BC150" s="310"/>
      <c r="BD150" s="310"/>
      <c r="BE150" s="310"/>
      <c r="BF150" s="310"/>
      <c r="BG150" s="310"/>
      <c r="BH150" s="310"/>
      <c r="BI150" s="310"/>
    </row>
    <row r="151" spans="1:61" ht="13" thickBot="1" x14ac:dyDescent="0.3">
      <c r="A151" s="376"/>
      <c r="B151" s="377"/>
      <c r="C151" s="377"/>
      <c r="D151" s="352"/>
      <c r="F151" s="365" t="s">
        <v>434</v>
      </c>
      <c r="G151" s="378">
        <v>18.5</v>
      </c>
      <c r="H151" s="379" t="s">
        <v>629</v>
      </c>
      <c r="K151" s="310"/>
      <c r="L151" s="310"/>
      <c r="M151" s="310"/>
      <c r="N151" s="310"/>
      <c r="O151" s="310"/>
      <c r="P151" s="310"/>
      <c r="Q151" s="310"/>
      <c r="R151" s="310"/>
      <c r="S151" s="310"/>
      <c r="T151" s="310"/>
      <c r="U151" s="310"/>
      <c r="V151" s="310"/>
      <c r="W151" s="310"/>
      <c r="X151" s="310"/>
      <c r="Y151" s="310"/>
      <c r="Z151" s="310"/>
      <c r="AA151" s="310"/>
      <c r="AB151" s="310"/>
      <c r="AC151" s="310"/>
      <c r="AD151" s="310"/>
      <c r="AE151" s="310"/>
      <c r="AF151" s="310"/>
      <c r="AG151" s="310"/>
      <c r="AH151" s="310"/>
      <c r="AI151" s="310"/>
      <c r="AJ151" s="310"/>
      <c r="AK151" s="310"/>
      <c r="AL151" s="310"/>
      <c r="AM151" s="310"/>
      <c r="AN151" s="310"/>
      <c r="AO151" s="310"/>
      <c r="AP151" s="310"/>
      <c r="AQ151" s="310"/>
      <c r="AR151" s="310"/>
      <c r="AS151" s="310"/>
      <c r="AT151" s="310"/>
      <c r="AU151" s="310"/>
      <c r="AV151" s="310"/>
      <c r="AW151" s="310"/>
      <c r="AX151" s="310"/>
      <c r="AY151" s="310"/>
      <c r="AZ151" s="310"/>
      <c r="BA151" s="310"/>
      <c r="BB151" s="310"/>
      <c r="BC151" s="310"/>
      <c r="BD151" s="310"/>
      <c r="BE151" s="310"/>
      <c r="BF151" s="310"/>
      <c r="BG151" s="310"/>
      <c r="BH151" s="310"/>
      <c r="BI151" s="310"/>
    </row>
    <row r="152" spans="1:61" x14ac:dyDescent="0.25">
      <c r="K152" s="310"/>
      <c r="L152" s="310"/>
      <c r="M152" s="310"/>
      <c r="N152" s="310"/>
      <c r="O152" s="310"/>
      <c r="P152" s="310"/>
      <c r="Q152" s="310"/>
      <c r="R152" s="310"/>
      <c r="S152" s="310"/>
      <c r="T152" s="310"/>
      <c r="U152" s="310"/>
      <c r="V152" s="310"/>
      <c r="W152" s="310"/>
      <c r="Z152" s="310"/>
      <c r="AA152" s="310"/>
      <c r="AB152" s="310"/>
      <c r="AC152" s="310"/>
      <c r="AD152" s="310"/>
      <c r="AE152" s="310"/>
      <c r="AF152" s="310"/>
      <c r="AG152" s="310"/>
      <c r="AH152" s="310"/>
      <c r="AI152" s="310"/>
      <c r="AJ152" s="310"/>
      <c r="AK152" s="310"/>
      <c r="AL152" s="310"/>
      <c r="AM152" s="310"/>
      <c r="AN152" s="310"/>
      <c r="AO152" s="310"/>
      <c r="AP152" s="310"/>
      <c r="AQ152" s="310"/>
      <c r="AR152" s="310"/>
      <c r="AS152" s="310"/>
      <c r="AT152" s="310"/>
      <c r="AU152" s="310"/>
      <c r="AV152" s="310"/>
      <c r="AW152" s="310"/>
      <c r="AX152" s="310"/>
      <c r="AY152" s="310"/>
      <c r="AZ152" s="310"/>
      <c r="BA152" s="310"/>
      <c r="BB152" s="310"/>
      <c r="BC152" s="310"/>
      <c r="BD152" s="310"/>
      <c r="BE152" s="310"/>
      <c r="BF152" s="310"/>
      <c r="BG152" s="310"/>
      <c r="BH152" s="310"/>
      <c r="BI152" s="310"/>
    </row>
    <row r="153" spans="1:61" x14ac:dyDescent="0.25">
      <c r="G153" s="380"/>
      <c r="H153" s="218"/>
      <c r="I153" s="369"/>
      <c r="J153" s="310"/>
      <c r="K153" s="310"/>
      <c r="L153" s="310"/>
      <c r="M153" s="310"/>
      <c r="N153" s="310"/>
      <c r="O153" s="310"/>
      <c r="P153" s="310"/>
      <c r="Q153" s="310"/>
      <c r="R153" s="310"/>
      <c r="S153" s="310"/>
      <c r="T153" s="310"/>
      <c r="U153" s="310"/>
      <c r="V153" s="310"/>
      <c r="W153" s="310"/>
      <c r="Z153" s="310"/>
      <c r="AA153" s="310"/>
      <c r="AB153" s="310"/>
      <c r="AC153" s="310"/>
      <c r="AD153" s="310"/>
      <c r="AE153" s="310"/>
      <c r="AF153" s="310"/>
      <c r="AG153" s="310"/>
      <c r="AH153" s="310"/>
      <c r="AI153" s="310"/>
      <c r="AJ153" s="310"/>
      <c r="AK153" s="310"/>
      <c r="AL153" s="310"/>
      <c r="AM153" s="310"/>
      <c r="AN153" s="310"/>
      <c r="AO153" s="310"/>
      <c r="AP153" s="310"/>
      <c r="AQ153" s="310"/>
      <c r="AR153" s="310"/>
      <c r="AS153" s="310"/>
      <c r="AT153" s="310"/>
      <c r="AU153" s="310"/>
      <c r="AV153" s="310"/>
      <c r="AW153" s="310"/>
      <c r="AX153" s="310"/>
      <c r="AY153" s="310"/>
      <c r="AZ153" s="310"/>
      <c r="BA153" s="310"/>
      <c r="BB153" s="310"/>
      <c r="BC153" s="310"/>
      <c r="BD153" s="310"/>
      <c r="BE153" s="310"/>
      <c r="BF153" s="310"/>
      <c r="BG153" s="310"/>
      <c r="BH153" s="310"/>
      <c r="BI153" s="310"/>
    </row>
    <row r="154" spans="1:61" x14ac:dyDescent="0.25">
      <c r="M154" s="310"/>
      <c r="N154" s="310"/>
      <c r="O154" s="310"/>
      <c r="P154" s="310"/>
      <c r="Q154" s="310"/>
      <c r="R154" s="310"/>
      <c r="S154" s="310"/>
    </row>
    <row r="155" spans="1:61" ht="13" thickBot="1" x14ac:dyDescent="0.3"/>
    <row r="156" spans="1:61" ht="34" x14ac:dyDescent="1.25">
      <c r="A156" s="381" t="s">
        <v>41</v>
      </c>
      <c r="B156" s="209"/>
      <c r="C156" s="209"/>
      <c r="D156" s="209"/>
      <c r="E156" s="209"/>
      <c r="F156" s="209"/>
      <c r="G156" s="209"/>
      <c r="H156" s="209"/>
      <c r="I156" s="209"/>
      <c r="J156" s="209"/>
      <c r="K156" s="209"/>
      <c r="L156" s="209"/>
      <c r="M156" s="209"/>
      <c r="N156" s="209"/>
      <c r="O156" s="209"/>
      <c r="P156" s="209"/>
      <c r="Q156" s="209"/>
      <c r="R156" s="209"/>
      <c r="S156" s="209"/>
      <c r="T156" s="209"/>
      <c r="U156" s="209"/>
      <c r="V156" s="209"/>
      <c r="W156" s="209"/>
      <c r="X156" s="209"/>
      <c r="Y156" s="209"/>
      <c r="Z156" s="209"/>
      <c r="AA156" s="209"/>
      <c r="AB156" s="209"/>
      <c r="AC156" s="371"/>
    </row>
    <row r="157" spans="1:61" s="296" customFormat="1" ht="15.5" x14ac:dyDescent="0.35">
      <c r="A157" s="294" t="s">
        <v>42</v>
      </c>
      <c r="B157" s="296">
        <v>25</v>
      </c>
      <c r="C157" s="296">
        <v>31.5</v>
      </c>
      <c r="D157" s="296">
        <v>40</v>
      </c>
      <c r="E157" s="296">
        <v>50</v>
      </c>
      <c r="F157" s="296">
        <v>63</v>
      </c>
      <c r="G157" s="296">
        <v>100</v>
      </c>
      <c r="H157" s="296">
        <v>125</v>
      </c>
      <c r="I157" s="296">
        <v>160</v>
      </c>
      <c r="J157" s="296">
        <v>200</v>
      </c>
      <c r="K157" s="296">
        <v>250</v>
      </c>
      <c r="L157" s="296">
        <v>315</v>
      </c>
      <c r="M157" s="296">
        <v>400</v>
      </c>
      <c r="N157" s="296">
        <v>500</v>
      </c>
      <c r="O157" s="296">
        <v>630</v>
      </c>
      <c r="P157" s="296">
        <v>1000</v>
      </c>
      <c r="Q157" s="296">
        <v>1250</v>
      </c>
      <c r="R157" s="296">
        <v>1600</v>
      </c>
      <c r="S157" s="296">
        <v>2000</v>
      </c>
      <c r="T157" s="296">
        <v>2500</v>
      </c>
      <c r="U157" s="296">
        <v>3150</v>
      </c>
      <c r="V157" s="296">
        <v>4000</v>
      </c>
      <c r="W157" s="296">
        <v>5000</v>
      </c>
      <c r="X157" s="296">
        <v>6300</v>
      </c>
      <c r="Y157" s="296">
        <v>10000</v>
      </c>
      <c r="Z157" s="296">
        <v>12500</v>
      </c>
      <c r="AA157" s="296">
        <v>16000</v>
      </c>
      <c r="AB157" s="296">
        <v>20000</v>
      </c>
      <c r="AC157" s="382"/>
    </row>
    <row r="158" spans="1:61" s="322" customFormat="1" x14ac:dyDescent="0.25">
      <c r="A158" s="383" t="s">
        <v>43</v>
      </c>
      <c r="B158" s="297">
        <f>((20*(LOG(B157*B160)))-B159)</f>
        <v>32.135950477083384</v>
      </c>
      <c r="C158" s="297">
        <f>((20*(LOG(C157*B160)))-B159)</f>
        <v>34.143361379434637</v>
      </c>
      <c r="D158" s="297">
        <f>((20*(LOG(D157*B160)))-B159)</f>
        <v>36.21835013020187</v>
      </c>
      <c r="E158" s="297">
        <f>((20*(LOG(E157*B160)))-B159)</f>
        <v>38.156550390362995</v>
      </c>
      <c r="F158" s="297">
        <f>((20*(LOG(F157*B160)))-B159)</f>
        <v>40.163961292714262</v>
      </c>
      <c r="G158" s="297">
        <f>((20*(LOG(G157*B160)))-B159)</f>
        <v>44.17715030364262</v>
      </c>
      <c r="H158" s="297">
        <f>((20*(LOG(H157*B160)))-B159)</f>
        <v>46.115350563803744</v>
      </c>
      <c r="I158" s="297">
        <f>((20*(LOG(I157*B160)))-B159)</f>
        <v>48.25954995676112</v>
      </c>
      <c r="J158" s="297">
        <f>((20*(LOG(J157*B160)))-B159)</f>
        <v>50.197750216922245</v>
      </c>
      <c r="K158" s="297">
        <f>((20*(LOG(K157*B160)))-B159)</f>
        <v>52.135950477083369</v>
      </c>
      <c r="L158" s="297">
        <f>((20*(LOG(L157*B160)))-B159)</f>
        <v>54.143361379434637</v>
      </c>
      <c r="M158" s="297">
        <f>((20*(LOG(M157*B160)))-B159)</f>
        <v>56.21835013020187</v>
      </c>
      <c r="N158" s="297">
        <f>((20*(LOG(N157*B160)))-B159)</f>
        <v>58.156550390362995</v>
      </c>
      <c r="O158" s="297">
        <f>((20*(LOG(O157*B160)))-B159)</f>
        <v>60.163961292714262</v>
      </c>
      <c r="P158" s="297">
        <f>((20*(LOG(P157*B160)))-B159)</f>
        <v>64.17715030364262</v>
      </c>
      <c r="Q158" s="297">
        <f>((20*(LOG(Q157*B160)))-B159)</f>
        <v>66.115350563803744</v>
      </c>
      <c r="R158" s="297">
        <f>((20*(LOG(R157*B160)))-B159)</f>
        <v>68.25954995676112</v>
      </c>
      <c r="S158" s="297">
        <f>((20*(LOG(S157*B160)))-B159)</f>
        <v>70.197750216922245</v>
      </c>
      <c r="T158" s="297">
        <f>((20*(LOG(T157*B160)))-B159)</f>
        <v>72.135950477083369</v>
      </c>
      <c r="U158" s="297">
        <f>((20*(LOG(U157*B160)))-B159)</f>
        <v>74.143361379434637</v>
      </c>
      <c r="V158" s="297">
        <f>((20*(LOG(V157*B160)))-B159)</f>
        <v>76.21835013020187</v>
      </c>
      <c r="W158" s="297">
        <f>((20*(LOG(W157*B160)))-B159)</f>
        <v>78.156550390362995</v>
      </c>
      <c r="X158" s="297">
        <f>((20*(LOG(X157*B160)))-B159)</f>
        <v>80.163961292714262</v>
      </c>
      <c r="Y158" s="297">
        <f>((20*(LOG(Y157*B160)))-B159)</f>
        <v>84.17715030364262</v>
      </c>
      <c r="Z158" s="297">
        <f>((20*(LOG(Z157*B160)))-B159)</f>
        <v>86.115350563803744</v>
      </c>
      <c r="AA158" s="297">
        <f>((20*(LOG(AA157*B160)))-B159)</f>
        <v>88.25954995676112</v>
      </c>
      <c r="AB158" s="297">
        <f>((20*(LOG(AB157*B160)))-B159)</f>
        <v>90.197750216922245</v>
      </c>
      <c r="AC158" s="384"/>
    </row>
    <row r="159" spans="1:61" x14ac:dyDescent="0.25">
      <c r="A159" s="239" t="s">
        <v>44</v>
      </c>
      <c r="B159" s="204">
        <v>47.3</v>
      </c>
      <c r="AC159" s="308"/>
    </row>
    <row r="160" spans="1:61" ht="15.5" x14ac:dyDescent="0.35">
      <c r="A160" s="385" t="s">
        <v>28</v>
      </c>
      <c r="B160" s="386">
        <v>374.85</v>
      </c>
      <c r="AC160" s="308"/>
    </row>
    <row r="161" spans="1:29" x14ac:dyDescent="0.25">
      <c r="A161" s="208"/>
      <c r="AC161" s="308"/>
    </row>
    <row r="162" spans="1:29" ht="23" x14ac:dyDescent="0.85">
      <c r="A162" s="208"/>
      <c r="B162" s="387" t="s">
        <v>398</v>
      </c>
      <c r="AC162" s="308"/>
    </row>
    <row r="163" spans="1:29" ht="13" x14ac:dyDescent="0.3">
      <c r="A163" s="309" t="s">
        <v>405</v>
      </c>
      <c r="C163" s="388">
        <v>25</v>
      </c>
      <c r="D163" s="388">
        <v>31.5</v>
      </c>
      <c r="E163" s="388">
        <v>40</v>
      </c>
      <c r="F163" s="388">
        <v>50</v>
      </c>
      <c r="G163" s="388">
        <v>63</v>
      </c>
      <c r="H163" s="388">
        <v>100</v>
      </c>
      <c r="I163" s="388">
        <v>125</v>
      </c>
      <c r="J163" s="388">
        <v>160</v>
      </c>
      <c r="K163" s="388">
        <v>200</v>
      </c>
      <c r="L163" s="388">
        <v>250</v>
      </c>
      <c r="M163" s="388">
        <v>315</v>
      </c>
      <c r="N163" s="388">
        <v>400</v>
      </c>
      <c r="O163" s="388">
        <v>500</v>
      </c>
      <c r="P163" s="388">
        <v>630</v>
      </c>
      <c r="Q163" s="388">
        <v>1000</v>
      </c>
      <c r="R163" s="388">
        <v>1250</v>
      </c>
      <c r="S163" s="388">
        <v>1600</v>
      </c>
      <c r="T163" s="388">
        <v>2000</v>
      </c>
      <c r="U163" s="388">
        <v>2500</v>
      </c>
      <c r="V163" s="388">
        <v>3150</v>
      </c>
      <c r="W163" s="388">
        <v>4000</v>
      </c>
      <c r="X163" s="388">
        <v>5000</v>
      </c>
      <c r="Y163" s="388">
        <v>6300</v>
      </c>
      <c r="Z163" s="388">
        <v>1000</v>
      </c>
      <c r="AA163" s="388">
        <v>12500</v>
      </c>
      <c r="AB163" s="388">
        <v>16000</v>
      </c>
      <c r="AC163" s="389">
        <v>20000</v>
      </c>
    </row>
    <row r="164" spans="1:29" x14ac:dyDescent="0.25">
      <c r="A164" s="309" t="s">
        <v>402</v>
      </c>
      <c r="C164" s="390">
        <v>120</v>
      </c>
      <c r="D164" s="297">
        <f>C164</f>
        <v>120</v>
      </c>
      <c r="E164" s="297">
        <f t="shared" ref="E164:L164" si="81">D164</f>
        <v>120</v>
      </c>
      <c r="F164" s="297">
        <f t="shared" si="81"/>
        <v>120</v>
      </c>
      <c r="G164" s="297">
        <f>F164</f>
        <v>120</v>
      </c>
      <c r="H164" s="297">
        <f>G164</f>
        <v>120</v>
      </c>
      <c r="I164" s="297">
        <f t="shared" si="81"/>
        <v>120</v>
      </c>
      <c r="J164" s="297">
        <f t="shared" si="81"/>
        <v>120</v>
      </c>
      <c r="K164" s="297">
        <f t="shared" si="81"/>
        <v>120</v>
      </c>
      <c r="L164" s="297">
        <f t="shared" si="81"/>
        <v>120</v>
      </c>
      <c r="M164" s="297">
        <f t="shared" ref="M164:T165" si="82">L164</f>
        <v>120</v>
      </c>
      <c r="N164" s="297">
        <f t="shared" si="82"/>
        <v>120</v>
      </c>
      <c r="O164" s="297">
        <f t="shared" si="82"/>
        <v>120</v>
      </c>
      <c r="P164" s="297">
        <f t="shared" si="82"/>
        <v>120</v>
      </c>
      <c r="Q164" s="297">
        <f t="shared" si="82"/>
        <v>120</v>
      </c>
      <c r="R164" s="297">
        <f t="shared" si="82"/>
        <v>120</v>
      </c>
      <c r="S164" s="297">
        <f t="shared" si="82"/>
        <v>120</v>
      </c>
      <c r="T164" s="297">
        <f t="shared" si="82"/>
        <v>120</v>
      </c>
      <c r="U164" s="297">
        <f t="shared" ref="U164:AC164" si="83">T164</f>
        <v>120</v>
      </c>
      <c r="V164" s="297">
        <f t="shared" si="83"/>
        <v>120</v>
      </c>
      <c r="W164" s="297">
        <f t="shared" si="83"/>
        <v>120</v>
      </c>
      <c r="X164" s="297">
        <f t="shared" ref="X164:Z165" si="84">W164</f>
        <v>120</v>
      </c>
      <c r="Y164" s="297">
        <f t="shared" si="84"/>
        <v>120</v>
      </c>
      <c r="Z164" s="297">
        <f t="shared" si="84"/>
        <v>120</v>
      </c>
      <c r="AA164" s="297">
        <f t="shared" si="83"/>
        <v>120</v>
      </c>
      <c r="AB164" s="297">
        <f t="shared" si="83"/>
        <v>120</v>
      </c>
      <c r="AC164" s="391">
        <f t="shared" si="83"/>
        <v>120</v>
      </c>
    </row>
    <row r="165" spans="1:29" x14ac:dyDescent="0.25">
      <c r="A165" s="309" t="s">
        <v>406</v>
      </c>
      <c r="C165" s="392">
        <v>20</v>
      </c>
      <c r="D165" s="393">
        <f>C165</f>
        <v>20</v>
      </c>
      <c r="E165" s="393">
        <f t="shared" ref="E165:L165" si="85">D165</f>
        <v>20</v>
      </c>
      <c r="F165" s="393">
        <f t="shared" si="85"/>
        <v>20</v>
      </c>
      <c r="G165" s="393">
        <f>F165</f>
        <v>20</v>
      </c>
      <c r="H165" s="393">
        <f>G165</f>
        <v>20</v>
      </c>
      <c r="I165" s="393">
        <f t="shared" si="85"/>
        <v>20</v>
      </c>
      <c r="J165" s="393">
        <f t="shared" si="85"/>
        <v>20</v>
      </c>
      <c r="K165" s="393">
        <f t="shared" si="85"/>
        <v>20</v>
      </c>
      <c r="L165" s="393">
        <f t="shared" si="85"/>
        <v>20</v>
      </c>
      <c r="M165" s="393">
        <f t="shared" si="82"/>
        <v>20</v>
      </c>
      <c r="N165" s="393">
        <f t="shared" si="82"/>
        <v>20</v>
      </c>
      <c r="O165" s="393">
        <f t="shared" si="82"/>
        <v>20</v>
      </c>
      <c r="P165" s="393">
        <f t="shared" si="82"/>
        <v>20</v>
      </c>
      <c r="Q165" s="393">
        <f t="shared" si="82"/>
        <v>20</v>
      </c>
      <c r="R165" s="393">
        <f t="shared" si="82"/>
        <v>20</v>
      </c>
      <c r="S165" s="393">
        <f t="shared" si="82"/>
        <v>20</v>
      </c>
      <c r="T165" s="393">
        <f t="shared" si="82"/>
        <v>20</v>
      </c>
      <c r="U165" s="393">
        <f t="shared" ref="U165:AC165" si="86">T165</f>
        <v>20</v>
      </c>
      <c r="V165" s="393">
        <f t="shared" si="86"/>
        <v>20</v>
      </c>
      <c r="W165" s="393">
        <f t="shared" si="86"/>
        <v>20</v>
      </c>
      <c r="X165" s="393">
        <f t="shared" si="84"/>
        <v>20</v>
      </c>
      <c r="Y165" s="393">
        <f t="shared" si="84"/>
        <v>20</v>
      </c>
      <c r="Z165" s="393">
        <f t="shared" si="84"/>
        <v>20</v>
      </c>
      <c r="AA165" s="393">
        <f t="shared" si="86"/>
        <v>20</v>
      </c>
      <c r="AB165" s="393">
        <f t="shared" si="86"/>
        <v>20</v>
      </c>
      <c r="AC165" s="394">
        <f t="shared" si="86"/>
        <v>20</v>
      </c>
    </row>
    <row r="166" spans="1:29" s="246" customFormat="1" x14ac:dyDescent="0.25">
      <c r="A166" s="309" t="s">
        <v>404</v>
      </c>
      <c r="C166" s="395">
        <f t="shared" ref="C166:F166" si="87">B158</f>
        <v>32.135950477083384</v>
      </c>
      <c r="D166" s="395">
        <f t="shared" si="87"/>
        <v>34.143361379434637</v>
      </c>
      <c r="E166" s="395">
        <f t="shared" si="87"/>
        <v>36.21835013020187</v>
      </c>
      <c r="F166" s="395">
        <f t="shared" si="87"/>
        <v>38.156550390362995</v>
      </c>
      <c r="G166" s="395">
        <f>F158</f>
        <v>40.163961292714262</v>
      </c>
      <c r="H166" s="395">
        <f>G158</f>
        <v>44.17715030364262</v>
      </c>
      <c r="I166" s="395">
        <f t="shared" ref="I166:L166" si="88">H158</f>
        <v>46.115350563803744</v>
      </c>
      <c r="J166" s="395">
        <f t="shared" si="88"/>
        <v>48.25954995676112</v>
      </c>
      <c r="K166" s="395">
        <f t="shared" si="88"/>
        <v>50.197750216922245</v>
      </c>
      <c r="L166" s="395">
        <f t="shared" si="88"/>
        <v>52.135950477083369</v>
      </c>
      <c r="M166" s="395">
        <f>L158</f>
        <v>54.143361379434637</v>
      </c>
      <c r="N166" s="395">
        <f>M158</f>
        <v>56.21835013020187</v>
      </c>
      <c r="O166" s="395">
        <f>N158</f>
        <v>58.156550390362995</v>
      </c>
      <c r="P166" s="395">
        <f>O158</f>
        <v>60.163961292714262</v>
      </c>
      <c r="Q166" s="395">
        <f t="shared" ref="Q166" si="89">P158</f>
        <v>64.17715030364262</v>
      </c>
      <c r="R166" s="395">
        <f t="shared" ref="R166" si="90">Q158</f>
        <v>66.115350563803744</v>
      </c>
      <c r="S166" s="395">
        <f t="shared" ref="S166" si="91">R158</f>
        <v>68.25954995676112</v>
      </c>
      <c r="T166" s="395">
        <f>S158</f>
        <v>70.197750216922245</v>
      </c>
      <c r="U166" s="395">
        <f t="shared" ref="U166" si="92">T158</f>
        <v>72.135950477083369</v>
      </c>
      <c r="V166" s="395">
        <f t="shared" ref="V166" si="93">U158</f>
        <v>74.143361379434637</v>
      </c>
      <c r="W166" s="395">
        <f t="shared" ref="W166" si="94">V158</f>
        <v>76.21835013020187</v>
      </c>
      <c r="X166" s="395">
        <f>W158</f>
        <v>78.156550390362995</v>
      </c>
      <c r="Y166" s="395">
        <f t="shared" ref="Y166" si="95">X158</f>
        <v>80.163961292714262</v>
      </c>
      <c r="Z166" s="395">
        <f>Y158</f>
        <v>84.17715030364262</v>
      </c>
      <c r="AA166" s="395">
        <f t="shared" ref="AA166" si="96">Z158</f>
        <v>86.115350563803744</v>
      </c>
      <c r="AB166" s="395">
        <f t="shared" ref="AB166:AC166" si="97">AA158</f>
        <v>88.25954995676112</v>
      </c>
      <c r="AC166" s="396">
        <f t="shared" si="97"/>
        <v>90.197750216922245</v>
      </c>
    </row>
    <row r="167" spans="1:29" x14ac:dyDescent="0.25">
      <c r="A167" s="309" t="s">
        <v>422</v>
      </c>
      <c r="C167" s="393">
        <f t="shared" ref="C167:H167" si="98">(SQRT(2))*C165</f>
        <v>28.284271247461902</v>
      </c>
      <c r="D167" s="393">
        <f t="shared" si="98"/>
        <v>28.284271247461902</v>
      </c>
      <c r="E167" s="393">
        <f t="shared" si="98"/>
        <v>28.284271247461902</v>
      </c>
      <c r="F167" s="393">
        <f t="shared" si="98"/>
        <v>28.284271247461902</v>
      </c>
      <c r="G167" s="393">
        <f t="shared" si="98"/>
        <v>28.284271247461902</v>
      </c>
      <c r="H167" s="393">
        <f t="shared" si="98"/>
        <v>28.284271247461902</v>
      </c>
      <c r="I167" s="393">
        <f t="shared" ref="I167:L167" si="99">(SQRT(2))*I165</f>
        <v>28.284271247461902</v>
      </c>
      <c r="J167" s="393">
        <f t="shared" si="99"/>
        <v>28.284271247461902</v>
      </c>
      <c r="K167" s="393">
        <f t="shared" si="99"/>
        <v>28.284271247461902</v>
      </c>
      <c r="L167" s="393">
        <f t="shared" si="99"/>
        <v>28.284271247461902</v>
      </c>
      <c r="M167" s="393">
        <f t="shared" ref="M167:S167" si="100">(SQRT(2))*M165</f>
        <v>28.284271247461902</v>
      </c>
      <c r="N167" s="393">
        <f t="shared" si="100"/>
        <v>28.284271247461902</v>
      </c>
      <c r="O167" s="393">
        <f t="shared" si="100"/>
        <v>28.284271247461902</v>
      </c>
      <c r="P167" s="393">
        <f t="shared" si="100"/>
        <v>28.284271247461902</v>
      </c>
      <c r="Q167" s="393">
        <f t="shared" si="100"/>
        <v>28.284271247461902</v>
      </c>
      <c r="R167" s="393">
        <f t="shared" si="100"/>
        <v>28.284271247461902</v>
      </c>
      <c r="S167" s="393">
        <f t="shared" si="100"/>
        <v>28.284271247461902</v>
      </c>
      <c r="T167" s="393">
        <f t="shared" ref="T167:AB167" si="101">(SQRT(2))*T165</f>
        <v>28.284271247461902</v>
      </c>
      <c r="U167" s="393">
        <f t="shared" si="101"/>
        <v>28.284271247461902</v>
      </c>
      <c r="V167" s="393">
        <f t="shared" si="101"/>
        <v>28.284271247461902</v>
      </c>
      <c r="W167" s="393">
        <f t="shared" si="101"/>
        <v>28.284271247461902</v>
      </c>
      <c r="X167" s="393">
        <f>(SQRT(2))*X165</f>
        <v>28.284271247461902</v>
      </c>
      <c r="Y167" s="393">
        <f>(SQRT(2))*Y165</f>
        <v>28.284271247461902</v>
      </c>
      <c r="Z167" s="393">
        <f t="shared" si="101"/>
        <v>28.284271247461902</v>
      </c>
      <c r="AA167" s="393">
        <f t="shared" si="101"/>
        <v>28.284271247461902</v>
      </c>
      <c r="AB167" s="393">
        <f t="shared" si="101"/>
        <v>28.284271247461902</v>
      </c>
      <c r="AC167" s="394">
        <f t="shared" ref="AC167" si="102">(SQRT(2))*AC165</f>
        <v>28.284271247461902</v>
      </c>
    </row>
    <row r="168" spans="1:29" ht="13" thickBot="1" x14ac:dyDescent="0.3">
      <c r="A168" s="309" t="s">
        <v>399</v>
      </c>
      <c r="C168" s="397">
        <f t="shared" ref="C168:H168" si="103">100*(1-(1/((C163/C165)*(C163/C165)-1)))</f>
        <v>-77.777777777777771</v>
      </c>
      <c r="D168" s="397">
        <f t="shared" si="103"/>
        <v>32.460953989024901</v>
      </c>
      <c r="E168" s="397">
        <f t="shared" si="103"/>
        <v>66.666666666666671</v>
      </c>
      <c r="F168" s="397">
        <f t="shared" si="103"/>
        <v>80.952380952380949</v>
      </c>
      <c r="G168" s="397">
        <f t="shared" si="103"/>
        <v>88.79237881759596</v>
      </c>
      <c r="H168" s="397">
        <f t="shared" si="103"/>
        <v>95.833333333333343</v>
      </c>
      <c r="I168" s="397">
        <f t="shared" ref="I168:L168" si="104">100*(1-(1/((I163/I165)*(I163/I165)-1)))</f>
        <v>97.372742200328418</v>
      </c>
      <c r="J168" s="397">
        <f t="shared" si="104"/>
        <v>98.412698412698418</v>
      </c>
      <c r="K168" s="397">
        <f t="shared" si="104"/>
        <v>98.98989898989899</v>
      </c>
      <c r="L168" s="397">
        <f t="shared" si="104"/>
        <v>99.355877616747179</v>
      </c>
      <c r="M168" s="397">
        <f t="shared" ref="M168:S168" si="105">100*(1-(1/((M163/M165)*(M163/M165)-1)))</f>
        <v>99.595244118391093</v>
      </c>
      <c r="N168" s="397">
        <f t="shared" si="105"/>
        <v>99.749373433583969</v>
      </c>
      <c r="O168" s="397">
        <f t="shared" si="105"/>
        <v>99.839743589743591</v>
      </c>
      <c r="P168" s="397">
        <f t="shared" si="105"/>
        <v>99.899117276166464</v>
      </c>
      <c r="Q168" s="397">
        <f t="shared" si="105"/>
        <v>99.959983993597433</v>
      </c>
      <c r="R168" s="397">
        <f t="shared" si="105"/>
        <v>99.974393444721855</v>
      </c>
      <c r="S168" s="397">
        <f t="shared" si="105"/>
        <v>99.984372558212215</v>
      </c>
      <c r="T168" s="397">
        <f t="shared" ref="T168:AB168" si="106">100*(1-(1/((T163/T165)*(T163/T165)-1)))</f>
        <v>99.989998999899981</v>
      </c>
      <c r="U168" s="397">
        <f t="shared" si="106"/>
        <v>99.993599590373776</v>
      </c>
      <c r="V168" s="397">
        <f t="shared" si="106"/>
        <v>99.995968595357837</v>
      </c>
      <c r="W168" s="397">
        <f t="shared" si="106"/>
        <v>99.997499937498432</v>
      </c>
      <c r="X168" s="397">
        <f>100*(1-(1/((X163/X165)*(X163/X165)-1)))</f>
        <v>99.998399974399589</v>
      </c>
      <c r="Y168" s="397">
        <f>100*(1-(1/((Y163/Y165)*(Y163/Y165)-1)))</f>
        <v>99.998992179311458</v>
      </c>
      <c r="Z168" s="397">
        <f t="shared" si="106"/>
        <v>99.959983993597433</v>
      </c>
      <c r="AA168" s="397">
        <f t="shared" si="106"/>
        <v>99.999743999344631</v>
      </c>
      <c r="AB168" s="397">
        <f t="shared" si="106"/>
        <v>99.999843749755854</v>
      </c>
      <c r="AC168" s="398">
        <f t="shared" ref="AC168" si="107">100*(1-(1/((AC163/AC165)*(AC163/AC165)-1)))</f>
        <v>99.999899999899995</v>
      </c>
    </row>
    <row r="169" spans="1:29" s="210" customFormat="1" ht="13.5" thickBot="1" x14ac:dyDescent="0.35">
      <c r="A169" s="399" t="s">
        <v>403</v>
      </c>
      <c r="B169" s="399"/>
      <c r="C169" s="400">
        <f>C166*(C168/100)</f>
        <v>-24.994628148842629</v>
      </c>
      <c r="D169" s="400">
        <f t="shared" ref="D169:L169" si="108">D166*(D168/100)</f>
        <v>11.083260827684775</v>
      </c>
      <c r="E169" s="400">
        <f t="shared" si="108"/>
        <v>24.145566753467914</v>
      </c>
      <c r="F169" s="400">
        <f t="shared" si="108"/>
        <v>30.888636030293853</v>
      </c>
      <c r="G169" s="400">
        <f t="shared" si="108"/>
        <v>35.662536659179459</v>
      </c>
      <c r="H169" s="400">
        <f t="shared" si="108"/>
        <v>42.336435707657515</v>
      </c>
      <c r="I169" s="400">
        <f t="shared" si="108"/>
        <v>44.903781419270317</v>
      </c>
      <c r="J169" s="400">
        <f t="shared" si="108"/>
        <v>47.493525354272847</v>
      </c>
      <c r="K169" s="400">
        <f t="shared" si="108"/>
        <v>49.690702234933134</v>
      </c>
      <c r="L169" s="400">
        <f t="shared" si="108"/>
        <v>51.800131150338871</v>
      </c>
      <c r="M169" s="401">
        <f>M166*(M168/100)</f>
        <v>53.92421293975061</v>
      </c>
      <c r="N169" s="402">
        <f>N166*(N168/100)</f>
        <v>56.077452009574799</v>
      </c>
      <c r="O169" s="403">
        <f>O166*(O168/100)</f>
        <v>58.063350790378436</v>
      </c>
      <c r="P169" s="400">
        <f>P166*(P168/100)</f>
        <v>60.103266249796015</v>
      </c>
      <c r="Q169" s="400">
        <f t="shared" ref="Q169" si="109">Q166*(Q168/100)</f>
        <v>64.151469171068129</v>
      </c>
      <c r="R169" s="400">
        <f t="shared" ref="R169" si="110">R166*(R168/100)</f>
        <v>66.098420700014287</v>
      </c>
      <c r="S169" s="400">
        <f t="shared" ref="S169" si="111">S166*(S168/100)</f>
        <v>68.24888273532703</v>
      </c>
      <c r="T169" s="400">
        <f t="shared" ref="T169" si="112">T166*(T168/100)</f>
        <v>70.190729739852841</v>
      </c>
      <c r="U169" s="400">
        <f t="shared" ref="U169" si="113">U166*(U168/100)</f>
        <v>72.131333480765065</v>
      </c>
      <c r="V169" s="400">
        <f t="shared" ref="V169" si="114">V166*(V168/100)</f>
        <v>74.140372360522136</v>
      </c>
      <c r="W169" s="400">
        <f t="shared" ref="W169" si="115">W166*(W168/100)</f>
        <v>76.216444623810958</v>
      </c>
      <c r="X169" s="400">
        <f t="shared" ref="X169" si="116">X166*(X168/100)</f>
        <v>78.155299865548344</v>
      </c>
      <c r="Y169" s="400">
        <f t="shared" ref="Y169" si="117">Y166*(Y168/100)</f>
        <v>80.16315338372759</v>
      </c>
      <c r="Z169" s="400">
        <f t="shared" ref="Z169" si="118">Z166*(Z168/100)</f>
        <v>84.143465969787613</v>
      </c>
      <c r="AA169" s="400">
        <f t="shared" ref="AA169" si="119">AA166*(AA168/100)</f>
        <v>86.115130107941923</v>
      </c>
      <c r="AB169" s="400">
        <f t="shared" ref="AB169" si="120">AB166*(AB168/100)</f>
        <v>88.259412050998833</v>
      </c>
      <c r="AC169" s="404">
        <f t="shared" ref="AC169" si="121">AC166*(AC168/100)</f>
        <v>90.197660019081823</v>
      </c>
    </row>
    <row r="170" spans="1:29" ht="12.75" customHeight="1" x14ac:dyDescent="0.25">
      <c r="A170" s="927" t="s">
        <v>423</v>
      </c>
      <c r="B170" s="928"/>
      <c r="C170" s="405">
        <f>C164-68-C169</f>
        <v>76.994628148842622</v>
      </c>
      <c r="D170" s="405">
        <f>D164-63-D169</f>
        <v>45.916739172315225</v>
      </c>
      <c r="E170" s="405">
        <f>E164-57-E169</f>
        <v>38.854433246532082</v>
      </c>
      <c r="F170" s="405">
        <f>F164-53-F169</f>
        <v>36.111363969706147</v>
      </c>
      <c r="G170" s="405">
        <f>G164-47-G169</f>
        <v>37.337463340820541</v>
      </c>
      <c r="H170" s="405">
        <f>H164-37-H169</f>
        <v>40.663564292342485</v>
      </c>
      <c r="I170" s="405">
        <f t="shared" ref="I170:L170" si="122">I164-37-I169</f>
        <v>38.096218580729683</v>
      </c>
      <c r="J170" s="405">
        <f t="shared" si="122"/>
        <v>35.506474645727153</v>
      </c>
      <c r="K170" s="405">
        <f t="shared" si="122"/>
        <v>33.309297765066866</v>
      </c>
      <c r="L170" s="405">
        <f t="shared" si="122"/>
        <v>31.199868849661129</v>
      </c>
      <c r="M170" s="405">
        <f t="shared" ref="M170:S170" si="123">M164-37-M169</f>
        <v>29.07578706024939</v>
      </c>
      <c r="N170" s="405">
        <f t="shared" si="123"/>
        <v>26.922547990425201</v>
      </c>
      <c r="O170" s="405">
        <f t="shared" si="123"/>
        <v>24.936649209621564</v>
      </c>
      <c r="P170" s="405">
        <f t="shared" si="123"/>
        <v>22.896733750203985</v>
      </c>
      <c r="Q170" s="405">
        <f t="shared" si="123"/>
        <v>18.848530828931871</v>
      </c>
      <c r="R170" s="405">
        <f t="shared" si="123"/>
        <v>16.901579299985713</v>
      </c>
      <c r="S170" s="405">
        <f t="shared" si="123"/>
        <v>14.75111726467297</v>
      </c>
      <c r="T170" s="405">
        <f t="shared" ref="T170:AB170" si="124">T164-37-T169</f>
        <v>12.809270260147159</v>
      </c>
      <c r="U170" s="405">
        <f t="shared" si="124"/>
        <v>10.868666519234935</v>
      </c>
      <c r="V170" s="405">
        <f t="shared" si="124"/>
        <v>8.8596276394778641</v>
      </c>
      <c r="W170" s="405">
        <f t="shared" si="124"/>
        <v>6.7835553761890424</v>
      </c>
      <c r="X170" s="405">
        <f>X164-37-X169</f>
        <v>4.8447001344516565</v>
      </c>
      <c r="Y170" s="405">
        <f>Y164-37-Y169</f>
        <v>2.8368466162724104</v>
      </c>
      <c r="Z170" s="405">
        <f t="shared" si="124"/>
        <v>-1.1434659697876128</v>
      </c>
      <c r="AA170" s="405">
        <f t="shared" si="124"/>
        <v>-3.1151301079419227</v>
      </c>
      <c r="AB170" s="405">
        <f t="shared" si="124"/>
        <v>-5.2594120509988329</v>
      </c>
      <c r="AC170" s="406">
        <f t="shared" ref="AC170" si="125">AC164-37-AC169</f>
        <v>-7.1976600190818232</v>
      </c>
    </row>
    <row r="171" spans="1:29" ht="13" thickBot="1" x14ac:dyDescent="0.3">
      <c r="A171" s="929"/>
      <c r="B171" s="930"/>
      <c r="C171" s="377"/>
      <c r="D171" s="377"/>
      <c r="E171" s="377"/>
      <c r="F171" s="377"/>
      <c r="G171" s="377"/>
      <c r="H171" s="377"/>
      <c r="I171" s="377"/>
      <c r="J171" s="377"/>
      <c r="K171" s="377"/>
      <c r="L171" s="377"/>
      <c r="M171" s="377"/>
      <c r="N171" s="377"/>
      <c r="O171" s="377"/>
      <c r="P171" s="377"/>
      <c r="Q171" s="377"/>
      <c r="R171" s="377"/>
      <c r="S171" s="377"/>
      <c r="T171" s="377"/>
      <c r="U171" s="377"/>
      <c r="V171" s="377"/>
      <c r="W171" s="377"/>
      <c r="X171" s="377"/>
      <c r="Y171" s="377"/>
      <c r="Z171" s="377"/>
      <c r="AA171" s="377"/>
      <c r="AB171" s="377"/>
      <c r="AC171" s="352"/>
    </row>
    <row r="174" spans="1:29" ht="13" thickBot="1" x14ac:dyDescent="0.3"/>
    <row r="175" spans="1:29" ht="20" x14ac:dyDescent="0.4">
      <c r="A175" s="407" t="s">
        <v>393</v>
      </c>
      <c r="B175" s="408"/>
      <c r="C175" s="408"/>
      <c r="D175" s="408"/>
      <c r="E175" s="408"/>
      <c r="F175" s="408"/>
      <c r="G175" s="409"/>
    </row>
    <row r="176" spans="1:29" ht="13" thickBot="1" x14ac:dyDescent="0.3">
      <c r="A176" s="208"/>
      <c r="G176" s="308"/>
    </row>
    <row r="177" spans="1:7" ht="39" x14ac:dyDescent="0.3">
      <c r="A177" s="410"/>
      <c r="B177" s="411" t="s">
        <v>86</v>
      </c>
      <c r="C177" s="412" t="s">
        <v>429</v>
      </c>
      <c r="D177" s="413"/>
      <c r="E177" s="414" t="s">
        <v>727</v>
      </c>
      <c r="G177" s="415"/>
    </row>
    <row r="178" spans="1:7" ht="13" x14ac:dyDescent="0.3">
      <c r="A178" s="211" t="s">
        <v>54</v>
      </c>
      <c r="B178" s="212" t="s">
        <v>37</v>
      </c>
      <c r="C178" s="416">
        <v>0.5</v>
      </c>
      <c r="D178" s="417"/>
      <c r="E178" s="417"/>
      <c r="G178" s="418"/>
    </row>
    <row r="179" spans="1:7" ht="13" thickBot="1" x14ac:dyDescent="0.3">
      <c r="A179" s="419" t="s">
        <v>385</v>
      </c>
      <c r="B179" s="420">
        <v>161</v>
      </c>
      <c r="C179" s="421">
        <f>$B179*(C178/12)</f>
        <v>6.708333333333333</v>
      </c>
      <c r="D179" s="310"/>
      <c r="E179" s="310"/>
      <c r="G179" s="422"/>
    </row>
    <row r="180" spans="1:7" x14ac:dyDescent="0.25">
      <c r="A180" s="208"/>
      <c r="G180" s="308"/>
    </row>
    <row r="181" spans="1:7" ht="13" thickBot="1" x14ac:dyDescent="0.3">
      <c r="A181" s="208"/>
      <c r="G181" s="308"/>
    </row>
    <row r="182" spans="1:7" ht="39" x14ac:dyDescent="0.3">
      <c r="A182" s="410"/>
      <c r="B182" s="411" t="s">
        <v>86</v>
      </c>
      <c r="C182" s="412" t="s">
        <v>430</v>
      </c>
      <c r="G182" s="308"/>
    </row>
    <row r="183" spans="1:7" ht="13" x14ac:dyDescent="0.3">
      <c r="A183" s="211" t="s">
        <v>54</v>
      </c>
      <c r="B183" s="212" t="s">
        <v>30</v>
      </c>
      <c r="C183" s="423">
        <v>20</v>
      </c>
      <c r="D183" s="424"/>
      <c r="E183" s="424"/>
      <c r="G183" s="425"/>
    </row>
    <row r="184" spans="1:7" ht="13" thickBot="1" x14ac:dyDescent="0.3">
      <c r="A184" s="419" t="s">
        <v>385</v>
      </c>
      <c r="B184" s="426">
        <v>2579</v>
      </c>
      <c r="C184" s="427">
        <f>$B184*C183/1000</f>
        <v>51.58</v>
      </c>
      <c r="D184" s="428"/>
      <c r="E184" s="428"/>
      <c r="G184" s="429"/>
    </row>
    <row r="185" spans="1:7" x14ac:dyDescent="0.25">
      <c r="A185" s="208"/>
      <c r="G185" s="308"/>
    </row>
    <row r="186" spans="1:7" x14ac:dyDescent="0.25">
      <c r="A186" s="208"/>
      <c r="G186" s="308"/>
    </row>
    <row r="187" spans="1:7" ht="13" thickBot="1" x14ac:dyDescent="0.3">
      <c r="A187" s="376"/>
      <c r="B187" s="377"/>
      <c r="C187" s="377"/>
      <c r="D187" s="377"/>
      <c r="E187" s="377"/>
      <c r="F187" s="377"/>
      <c r="G187" s="352"/>
    </row>
    <row r="194" spans="1:12" ht="13" thickBot="1" x14ac:dyDescent="0.3"/>
    <row r="195" spans="1:12" ht="34" x14ac:dyDescent="1.25">
      <c r="A195" s="922" t="s">
        <v>46</v>
      </c>
      <c r="B195" s="923"/>
      <c r="C195" s="924"/>
      <c r="F195" s="905" t="s">
        <v>26</v>
      </c>
      <c r="G195" s="906"/>
      <c r="H195" s="907"/>
      <c r="I195" s="298"/>
    </row>
    <row r="196" spans="1:12" x14ac:dyDescent="0.25">
      <c r="A196" s="208"/>
      <c r="C196" s="308"/>
      <c r="F196" s="311" t="s">
        <v>27</v>
      </c>
      <c r="G196" s="323">
        <v>22</v>
      </c>
      <c r="H196" s="324">
        <v>1.75</v>
      </c>
    </row>
    <row r="197" spans="1:12" x14ac:dyDescent="0.25">
      <c r="A197" s="311" t="s">
        <v>38</v>
      </c>
      <c r="B197" s="325">
        <v>35</v>
      </c>
      <c r="C197" s="308"/>
      <c r="F197" s="311" t="s">
        <v>28</v>
      </c>
      <c r="G197" s="326">
        <f>G198/((1/G196)*1000)</f>
        <v>0.77</v>
      </c>
      <c r="H197" s="327">
        <f>H198/(1/(H196/12))</f>
        <v>4.274375</v>
      </c>
    </row>
    <row r="198" spans="1:12" x14ac:dyDescent="0.25">
      <c r="A198" s="311" t="s">
        <v>39</v>
      </c>
      <c r="B198" s="328">
        <v>2</v>
      </c>
      <c r="C198" s="308"/>
      <c r="F198" s="311" t="s">
        <v>29</v>
      </c>
      <c r="G198" s="329">
        <v>35</v>
      </c>
      <c r="H198" s="330">
        <v>29.31</v>
      </c>
    </row>
    <row r="199" spans="1:12" x14ac:dyDescent="0.25">
      <c r="A199" s="311" t="s">
        <v>45</v>
      </c>
      <c r="B199" s="331">
        <v>156</v>
      </c>
      <c r="C199" s="308"/>
      <c r="F199" s="313" t="s">
        <v>418</v>
      </c>
      <c r="G199" s="329">
        <v>680.8</v>
      </c>
      <c r="H199" s="332">
        <f>G199*0.062428</f>
        <v>42.500982399999998</v>
      </c>
    </row>
    <row r="200" spans="1:12" ht="13.5" thickBot="1" x14ac:dyDescent="0.35">
      <c r="A200" s="316" t="s">
        <v>40</v>
      </c>
      <c r="B200" s="333">
        <f>(B197*(B198/12))*B199</f>
        <v>910</v>
      </c>
      <c r="C200" s="308"/>
      <c r="F200" s="334" t="s">
        <v>418</v>
      </c>
      <c r="G200" s="335">
        <v>42.5</v>
      </c>
      <c r="H200" s="336">
        <f>G200*16.0184532581533</f>
        <v>680.78426347151526</v>
      </c>
    </row>
    <row r="201" spans="1:12" ht="13" x14ac:dyDescent="0.3">
      <c r="A201" s="301"/>
      <c r="B201" s="315"/>
      <c r="C201" s="308"/>
      <c r="F201" s="908" t="s">
        <v>401</v>
      </c>
      <c r="G201" s="909"/>
      <c r="H201" s="909"/>
      <c r="I201" s="337"/>
      <c r="J201" s="337"/>
      <c r="K201" s="338"/>
    </row>
    <row r="202" spans="1:12" ht="13" x14ac:dyDescent="0.3">
      <c r="A202" s="311" t="s">
        <v>38</v>
      </c>
      <c r="B202" s="339">
        <v>1</v>
      </c>
      <c r="C202" s="308"/>
      <c r="F202" s="340" t="s">
        <v>425</v>
      </c>
      <c r="G202" s="212" t="s">
        <v>9</v>
      </c>
      <c r="H202" s="212" t="s">
        <v>376</v>
      </c>
      <c r="I202" s="212" t="s">
        <v>8</v>
      </c>
      <c r="J202" s="212" t="s">
        <v>377</v>
      </c>
      <c r="K202" s="341" t="s">
        <v>45</v>
      </c>
    </row>
    <row r="203" spans="1:12" x14ac:dyDescent="0.25">
      <c r="A203" s="311" t="s">
        <v>39</v>
      </c>
      <c r="B203" s="342">
        <v>100</v>
      </c>
      <c r="C203" s="308"/>
      <c r="F203" s="299" t="s">
        <v>441</v>
      </c>
      <c r="G203" s="343">
        <v>20</v>
      </c>
      <c r="H203" s="343">
        <v>12.5</v>
      </c>
      <c r="I203" s="343">
        <v>40</v>
      </c>
      <c r="J203" s="344">
        <v>13.2</v>
      </c>
      <c r="K203" s="345">
        <f>(1/((G203/100)*(H203/100)*(I203/100)))*J203</f>
        <v>1319.9999999999998</v>
      </c>
    </row>
    <row r="204" spans="1:12" ht="13" thickBot="1" x14ac:dyDescent="0.3">
      <c r="A204" s="311" t="s">
        <v>45</v>
      </c>
      <c r="B204" s="346">
        <v>797</v>
      </c>
      <c r="C204" s="308"/>
      <c r="F204" s="347" t="s">
        <v>442</v>
      </c>
      <c r="G204" s="348">
        <v>6</v>
      </c>
      <c r="H204" s="348">
        <v>10</v>
      </c>
      <c r="I204" s="348">
        <v>22</v>
      </c>
      <c r="J204" s="349">
        <v>2.0699999999999998</v>
      </c>
      <c r="K204" s="350">
        <f>(1/((G204/100)*(H204/100)*(I204/100)))*J204</f>
        <v>1568.1818181818182</v>
      </c>
    </row>
    <row r="205" spans="1:12" ht="13.5" thickBot="1" x14ac:dyDescent="0.35">
      <c r="A205" s="318" t="s">
        <v>40</v>
      </c>
      <c r="B205" s="351">
        <f>(B202*(B203/1000))*B204</f>
        <v>79.7</v>
      </c>
      <c r="C205" s="352"/>
      <c r="F205" s="908" t="s">
        <v>437</v>
      </c>
      <c r="G205" s="909"/>
      <c r="H205" s="909"/>
      <c r="I205" s="337"/>
      <c r="J205" s="337"/>
      <c r="K205" s="338"/>
      <c r="L205" s="353"/>
    </row>
    <row r="206" spans="1:12" ht="13" x14ac:dyDescent="0.3">
      <c r="F206" s="340" t="s">
        <v>425</v>
      </c>
      <c r="G206" s="212" t="s">
        <v>9</v>
      </c>
      <c r="H206" s="212" t="s">
        <v>376</v>
      </c>
      <c r="I206" s="212" t="s">
        <v>8</v>
      </c>
      <c r="J206" s="212" t="s">
        <v>377</v>
      </c>
      <c r="K206" s="341" t="s">
        <v>45</v>
      </c>
      <c r="L206" s="353"/>
    </row>
    <row r="207" spans="1:12" x14ac:dyDescent="0.25">
      <c r="F207" s="299" t="s">
        <v>441</v>
      </c>
      <c r="G207" s="354">
        <v>1.75</v>
      </c>
      <c r="H207" s="354">
        <v>32</v>
      </c>
      <c r="I207" s="354">
        <v>80</v>
      </c>
      <c r="J207" s="355">
        <v>76</v>
      </c>
      <c r="K207" s="356">
        <f>(1/((G207/12)*(H207/12)*(I207/12)))*J207</f>
        <v>29.314285714285717</v>
      </c>
      <c r="L207" s="353"/>
    </row>
    <row r="208" spans="1:12" ht="13" thickBot="1" x14ac:dyDescent="0.3">
      <c r="F208" s="347" t="s">
        <v>442</v>
      </c>
      <c r="G208" s="357">
        <v>4</v>
      </c>
      <c r="H208" s="357">
        <v>8.5</v>
      </c>
      <c r="I208" s="357">
        <v>17.5</v>
      </c>
      <c r="J208" s="358">
        <v>1.5</v>
      </c>
      <c r="K208" s="359">
        <f>(1/((G208/12)*(H208/12)*(I208/12)))*J208</f>
        <v>4.3563025210084039</v>
      </c>
    </row>
    <row r="209" spans="1:5" ht="34" x14ac:dyDescent="1.25">
      <c r="A209" s="903" t="s">
        <v>381</v>
      </c>
      <c r="B209" s="904"/>
      <c r="C209" s="904"/>
      <c r="D209" s="338"/>
    </row>
    <row r="210" spans="1:5" x14ac:dyDescent="0.25">
      <c r="A210" s="311" t="s">
        <v>382</v>
      </c>
      <c r="B210" s="360">
        <v>0.01</v>
      </c>
      <c r="C210" s="326">
        <f>(B210*0.101971621)*1000000</f>
        <v>1019.7162099999999</v>
      </c>
      <c r="D210" s="361">
        <f>B210*0.101971621</f>
        <v>1.01971621E-3</v>
      </c>
      <c r="E210" s="362"/>
    </row>
    <row r="211" spans="1:5" x14ac:dyDescent="0.25">
      <c r="A211" s="313" t="s">
        <v>383</v>
      </c>
      <c r="B211" s="363">
        <v>150</v>
      </c>
      <c r="C211" s="315"/>
      <c r="D211" s="364"/>
      <c r="E211" s="362"/>
    </row>
    <row r="212" spans="1:5" ht="13" thickBot="1" x14ac:dyDescent="0.3">
      <c r="A212" s="365" t="s">
        <v>384</v>
      </c>
      <c r="B212" s="366">
        <v>255.75</v>
      </c>
      <c r="C212" s="367">
        <f>B212*(1/(B211/1000))</f>
        <v>1705</v>
      </c>
      <c r="D212" s="368" t="s">
        <v>628</v>
      </c>
      <c r="E212" s="362"/>
    </row>
  </sheetData>
  <mergeCells count="30">
    <mergeCell ref="A68:E69"/>
    <mergeCell ref="C120:F120"/>
    <mergeCell ref="C121:F121"/>
    <mergeCell ref="C122:F122"/>
    <mergeCell ref="A102:B102"/>
    <mergeCell ref="A107:B107"/>
    <mergeCell ref="C102:D102"/>
    <mergeCell ref="C107:D107"/>
    <mergeCell ref="C119:F119"/>
    <mergeCell ref="F125:H125"/>
    <mergeCell ref="F131:H131"/>
    <mergeCell ref="A170:B171"/>
    <mergeCell ref="C147:C148"/>
    <mergeCell ref="H147:H148"/>
    <mergeCell ref="J1:K5"/>
    <mergeCell ref="N31:W31"/>
    <mergeCell ref="A63:D65"/>
    <mergeCell ref="A209:C209"/>
    <mergeCell ref="F195:H195"/>
    <mergeCell ref="F201:H201"/>
    <mergeCell ref="F205:H205"/>
    <mergeCell ref="N12:Y12"/>
    <mergeCell ref="A2:C2"/>
    <mergeCell ref="G6:I6"/>
    <mergeCell ref="F135:H135"/>
    <mergeCell ref="A139:C139"/>
    <mergeCell ref="A31:C33"/>
    <mergeCell ref="A195:C195"/>
    <mergeCell ref="F147:G147"/>
    <mergeCell ref="A125:C125"/>
  </mergeCells>
  <pageMargins left="0.7" right="0.7" top="0.75" bottom="0.75" header="0.3" footer="0.3"/>
  <pageSetup orientation="portrait" horizontalDpi="4294967293"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Spinner 1">
              <controlPr defaultSize="0" autoPict="0">
                <anchor moveWithCells="1" sizeWithCells="1">
                  <from>
                    <xdr:col>1</xdr:col>
                    <xdr:colOff>25400</xdr:colOff>
                    <xdr:row>23</xdr:row>
                    <xdr:rowOff>6350</xdr:rowOff>
                  </from>
                  <to>
                    <xdr:col>1</xdr:col>
                    <xdr:colOff>215900</xdr:colOff>
                    <xdr:row>24</xdr:row>
                    <xdr:rowOff>152400</xdr:rowOff>
                  </to>
                </anchor>
              </controlPr>
            </control>
          </mc:Choice>
        </mc:AlternateContent>
        <mc:AlternateContent xmlns:mc="http://schemas.openxmlformats.org/markup-compatibility/2006">
          <mc:Choice Requires="x14">
            <control shapeId="2050" r:id="rId5" name="Spinner 2">
              <controlPr defaultSize="0" autoPict="0">
                <anchor moveWithCells="1" sizeWithCells="1">
                  <from>
                    <xdr:col>2</xdr:col>
                    <xdr:colOff>25400</xdr:colOff>
                    <xdr:row>23</xdr:row>
                    <xdr:rowOff>25400</xdr:rowOff>
                  </from>
                  <to>
                    <xdr:col>2</xdr:col>
                    <xdr:colOff>228600</xdr:colOff>
                    <xdr:row>25</xdr:row>
                    <xdr:rowOff>0</xdr:rowOff>
                  </to>
                </anchor>
              </controlPr>
            </control>
          </mc:Choice>
        </mc:AlternateContent>
        <mc:AlternateContent xmlns:mc="http://schemas.openxmlformats.org/markup-compatibility/2006">
          <mc:Choice Requires="x14">
            <control shapeId="2055" r:id="rId6" name="Spinner 7">
              <controlPr defaultSize="0" autoPict="0">
                <anchor moveWithCells="1" sizeWithCells="1">
                  <from>
                    <xdr:col>2</xdr:col>
                    <xdr:colOff>25400</xdr:colOff>
                    <xdr:row>23</xdr:row>
                    <xdr:rowOff>25400</xdr:rowOff>
                  </from>
                  <to>
                    <xdr:col>2</xdr:col>
                    <xdr:colOff>228600</xdr:colOff>
                    <xdr:row>25</xdr:row>
                    <xdr:rowOff>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V112"/>
  <sheetViews>
    <sheetView topLeftCell="B1" workbookViewId="0">
      <selection activeCell="C36" sqref="C36"/>
    </sheetView>
  </sheetViews>
  <sheetFormatPr defaultRowHeight="12.5" x14ac:dyDescent="0.25"/>
  <cols>
    <col min="14" max="14" width="9.54296875" bestFit="1" customWidth="1"/>
    <col min="22" max="22" width="14.453125" style="195" bestFit="1" customWidth="1"/>
    <col min="23" max="25" width="20" bestFit="1" customWidth="1"/>
  </cols>
  <sheetData>
    <row r="2" spans="2:12" ht="13" customHeight="1" x14ac:dyDescent="0.25">
      <c r="B2" s="956" t="s">
        <v>799</v>
      </c>
      <c r="C2" s="956"/>
      <c r="D2" s="956"/>
      <c r="E2" s="956"/>
      <c r="F2" s="956"/>
      <c r="G2" s="956"/>
      <c r="H2" s="956"/>
      <c r="I2" s="956"/>
      <c r="J2" s="956"/>
      <c r="K2" s="956"/>
      <c r="L2" s="956"/>
    </row>
    <row r="3" spans="2:12" ht="13" thickBot="1" x14ac:dyDescent="0.3">
      <c r="B3" s="758"/>
    </row>
    <row r="4" spans="2:12" ht="32" thickBot="1" x14ac:dyDescent="0.3">
      <c r="B4" s="943" t="s">
        <v>800</v>
      </c>
      <c r="C4" s="632" t="s">
        <v>801</v>
      </c>
      <c r="D4" s="946" t="s">
        <v>420</v>
      </c>
      <c r="E4" s="947"/>
      <c r="F4" s="946" t="s">
        <v>802</v>
      </c>
      <c r="G4" s="947"/>
      <c r="H4" s="946" t="s">
        <v>803</v>
      </c>
      <c r="I4" s="947"/>
      <c r="J4" s="946" t="s">
        <v>804</v>
      </c>
      <c r="K4" s="947"/>
      <c r="L4" s="632" t="s">
        <v>805</v>
      </c>
    </row>
    <row r="5" spans="2:12" ht="20" x14ac:dyDescent="0.25">
      <c r="B5" s="944"/>
      <c r="C5" s="948" t="s">
        <v>806</v>
      </c>
      <c r="D5" s="633" t="s">
        <v>807</v>
      </c>
      <c r="E5" s="633" t="s">
        <v>808</v>
      </c>
      <c r="F5" s="633" t="s">
        <v>807</v>
      </c>
      <c r="G5" s="633" t="s">
        <v>808</v>
      </c>
      <c r="H5" s="633" t="s">
        <v>807</v>
      </c>
      <c r="I5" s="633" t="s">
        <v>808</v>
      </c>
      <c r="J5" s="633" t="s">
        <v>807</v>
      </c>
      <c r="K5" s="633" t="s">
        <v>808</v>
      </c>
      <c r="L5" s="635" t="s">
        <v>807</v>
      </c>
    </row>
    <row r="6" spans="2:12" ht="13" thickBot="1" x14ac:dyDescent="0.3">
      <c r="B6" s="944"/>
      <c r="C6" s="949"/>
      <c r="D6" s="634" t="s">
        <v>806</v>
      </c>
      <c r="E6" s="634" t="s">
        <v>1532</v>
      </c>
      <c r="F6" s="634" t="s">
        <v>806</v>
      </c>
      <c r="G6" s="634" t="s">
        <v>1532</v>
      </c>
      <c r="H6" s="634" t="s">
        <v>806</v>
      </c>
      <c r="I6" s="634" t="s">
        <v>1532</v>
      </c>
      <c r="J6" s="634" t="s">
        <v>806</v>
      </c>
      <c r="K6" s="634" t="s">
        <v>1532</v>
      </c>
      <c r="L6" s="636" t="s">
        <v>806</v>
      </c>
    </row>
    <row r="7" spans="2:12" ht="13" thickBot="1" x14ac:dyDescent="0.3">
      <c r="B7" s="945"/>
      <c r="C7" s="950"/>
      <c r="D7" s="768" t="s">
        <v>1055</v>
      </c>
      <c r="E7" s="769" t="s">
        <v>1534</v>
      </c>
      <c r="F7" s="768" t="s">
        <v>1055</v>
      </c>
      <c r="G7" s="769" t="s">
        <v>1534</v>
      </c>
      <c r="H7" s="768" t="s">
        <v>1055</v>
      </c>
      <c r="I7" s="769" t="s">
        <v>1534</v>
      </c>
      <c r="J7" s="768" t="s">
        <v>1055</v>
      </c>
      <c r="K7" s="769" t="s">
        <v>1534</v>
      </c>
      <c r="L7" s="768" t="s">
        <v>1055</v>
      </c>
    </row>
    <row r="8" spans="2:12" x14ac:dyDescent="0.25">
      <c r="B8" s="948">
        <v>44</v>
      </c>
      <c r="C8" s="633">
        <v>4.7000000000000002E-3</v>
      </c>
      <c r="D8" s="951"/>
      <c r="E8" s="951"/>
      <c r="F8" s="951"/>
      <c r="G8" s="951"/>
      <c r="H8" s="951"/>
      <c r="I8" s="951"/>
      <c r="J8" s="951"/>
      <c r="K8" s="951"/>
      <c r="L8" s="953"/>
    </row>
    <row r="9" spans="2:12" ht="13" thickBot="1" x14ac:dyDescent="0.3">
      <c r="B9" s="950"/>
      <c r="C9" s="628">
        <v>0.11899999999999999</v>
      </c>
      <c r="D9" s="952"/>
      <c r="E9" s="952"/>
      <c r="F9" s="952"/>
      <c r="G9" s="952"/>
      <c r="H9" s="952"/>
      <c r="I9" s="952"/>
      <c r="J9" s="952"/>
      <c r="K9" s="952"/>
      <c r="L9" s="954"/>
    </row>
    <row r="10" spans="2:12" x14ac:dyDescent="0.25">
      <c r="B10" s="955">
        <v>43</v>
      </c>
      <c r="C10" s="633">
        <v>4.8999999999999998E-3</v>
      </c>
      <c r="D10" s="951"/>
      <c r="E10" s="951"/>
      <c r="F10" s="951"/>
      <c r="G10" s="951"/>
      <c r="H10" s="951"/>
      <c r="I10" s="951"/>
      <c r="J10" s="951"/>
      <c r="K10" s="951"/>
      <c r="L10" s="953"/>
    </row>
    <row r="11" spans="2:12" ht="13" thickBot="1" x14ac:dyDescent="0.3">
      <c r="B11" s="950"/>
      <c r="C11" s="628">
        <v>0.124</v>
      </c>
      <c r="D11" s="952"/>
      <c r="E11" s="952"/>
      <c r="F11" s="952"/>
      <c r="G11" s="952"/>
      <c r="H11" s="952"/>
      <c r="I11" s="952"/>
      <c r="J11" s="952"/>
      <c r="K11" s="952"/>
      <c r="L11" s="954"/>
    </row>
    <row r="12" spans="2:12" x14ac:dyDescent="0.25">
      <c r="B12" s="955">
        <v>42</v>
      </c>
      <c r="C12" s="633">
        <v>5.1000000000000004E-3</v>
      </c>
      <c r="D12" s="951"/>
      <c r="E12" s="951"/>
      <c r="F12" s="951"/>
      <c r="G12" s="951"/>
      <c r="H12" s="951"/>
      <c r="I12" s="951"/>
      <c r="J12" s="951"/>
      <c r="K12" s="951"/>
      <c r="L12" s="953"/>
    </row>
    <row r="13" spans="2:12" ht="13" thickBot="1" x14ac:dyDescent="0.3">
      <c r="B13" s="950"/>
      <c r="C13" s="628">
        <v>0.13</v>
      </c>
      <c r="D13" s="952"/>
      <c r="E13" s="952"/>
      <c r="F13" s="952"/>
      <c r="G13" s="952"/>
      <c r="H13" s="952"/>
      <c r="I13" s="952"/>
      <c r="J13" s="952"/>
      <c r="K13" s="952"/>
      <c r="L13" s="954"/>
    </row>
    <row r="14" spans="2:12" x14ac:dyDescent="0.25">
      <c r="B14" s="955">
        <v>41</v>
      </c>
      <c r="C14" s="633">
        <v>5.3E-3</v>
      </c>
      <c r="D14" s="951"/>
      <c r="E14" s="951"/>
      <c r="F14" s="951"/>
      <c r="G14" s="951"/>
      <c r="H14" s="951"/>
      <c r="I14" s="951"/>
      <c r="J14" s="951"/>
      <c r="K14" s="951"/>
      <c r="L14" s="953"/>
    </row>
    <row r="15" spans="2:12" ht="13" thickBot="1" x14ac:dyDescent="0.3">
      <c r="B15" s="950"/>
      <c r="C15" s="628">
        <v>0.13500000000000001</v>
      </c>
      <c r="D15" s="952"/>
      <c r="E15" s="952"/>
      <c r="F15" s="952"/>
      <c r="G15" s="952"/>
      <c r="H15" s="952"/>
      <c r="I15" s="952"/>
      <c r="J15" s="952"/>
      <c r="K15" s="952"/>
      <c r="L15" s="954"/>
    </row>
    <row r="16" spans="2:12" x14ac:dyDescent="0.25">
      <c r="B16" s="955">
        <v>40</v>
      </c>
      <c r="C16" s="633">
        <v>5.4999999999999997E-3</v>
      </c>
      <c r="D16" s="951"/>
      <c r="E16" s="951"/>
      <c r="F16" s="951"/>
      <c r="G16" s="951"/>
      <c r="H16" s="951"/>
      <c r="I16" s="951"/>
      <c r="J16" s="951"/>
      <c r="K16" s="951"/>
      <c r="L16" s="953"/>
    </row>
    <row r="17" spans="2:12" ht="13" thickBot="1" x14ac:dyDescent="0.3">
      <c r="B17" s="950"/>
      <c r="C17" s="628">
        <v>0.14000000000000001</v>
      </c>
      <c r="D17" s="952"/>
      <c r="E17" s="952"/>
      <c r="F17" s="952"/>
      <c r="G17" s="952"/>
      <c r="H17" s="952"/>
      <c r="I17" s="952"/>
      <c r="J17" s="952"/>
      <c r="K17" s="952"/>
      <c r="L17" s="954"/>
    </row>
    <row r="18" spans="2:12" x14ac:dyDescent="0.25">
      <c r="B18" s="955">
        <v>39</v>
      </c>
      <c r="C18" s="633">
        <v>5.8999999999999999E-3</v>
      </c>
      <c r="D18" s="951"/>
      <c r="E18" s="951"/>
      <c r="F18" s="951"/>
      <c r="G18" s="951"/>
      <c r="H18" s="951"/>
      <c r="I18" s="951"/>
      <c r="J18" s="951"/>
      <c r="K18" s="951"/>
      <c r="L18" s="953"/>
    </row>
    <row r="19" spans="2:12" ht="13" thickBot="1" x14ac:dyDescent="0.3">
      <c r="B19" s="950"/>
      <c r="C19" s="628">
        <v>0.15</v>
      </c>
      <c r="D19" s="952"/>
      <c r="E19" s="952"/>
      <c r="F19" s="952"/>
      <c r="G19" s="952"/>
      <c r="H19" s="952"/>
      <c r="I19" s="952"/>
      <c r="J19" s="952"/>
      <c r="K19" s="952"/>
      <c r="L19" s="954"/>
    </row>
    <row r="20" spans="2:12" x14ac:dyDescent="0.25">
      <c r="B20" s="955">
        <v>38</v>
      </c>
      <c r="C20" s="633">
        <v>6.3E-3</v>
      </c>
      <c r="D20" s="633">
        <v>6.0000000000000001E-3</v>
      </c>
      <c r="E20" s="951"/>
      <c r="F20" s="951"/>
      <c r="G20" s="951"/>
      <c r="H20" s="633">
        <v>6.1999999999999998E-3</v>
      </c>
      <c r="I20" s="951"/>
      <c r="J20" s="633">
        <v>4.0000000000000001E-3</v>
      </c>
      <c r="K20" s="951"/>
      <c r="L20" s="953"/>
    </row>
    <row r="21" spans="2:12" ht="13" thickBot="1" x14ac:dyDescent="0.3">
      <c r="B21" s="950"/>
      <c r="C21" s="628">
        <v>0.16</v>
      </c>
      <c r="D21" s="628">
        <v>0.152</v>
      </c>
      <c r="E21" s="952"/>
      <c r="F21" s="952"/>
      <c r="G21" s="952"/>
      <c r="H21" s="628">
        <v>0.157</v>
      </c>
      <c r="I21" s="952"/>
      <c r="J21" s="628">
        <v>0.10199999999999999</v>
      </c>
      <c r="K21" s="952"/>
      <c r="L21" s="954"/>
    </row>
    <row r="22" spans="2:12" x14ac:dyDescent="0.25">
      <c r="B22" s="955">
        <v>37</v>
      </c>
      <c r="C22" s="633">
        <v>6.6E-3</v>
      </c>
      <c r="D22" s="633">
        <v>6.4000000000000003E-3</v>
      </c>
      <c r="E22" s="951"/>
      <c r="F22" s="951"/>
      <c r="G22" s="951"/>
      <c r="H22" s="633">
        <v>6.6E-3</v>
      </c>
      <c r="I22" s="951"/>
      <c r="J22" s="633">
        <v>4.4999999999999997E-3</v>
      </c>
      <c r="K22" s="951"/>
      <c r="L22" s="953"/>
    </row>
    <row r="23" spans="2:12" ht="13" thickBot="1" x14ac:dyDescent="0.3">
      <c r="B23" s="950"/>
      <c r="C23" s="628">
        <v>0.16800000000000001</v>
      </c>
      <c r="D23" s="628">
        <v>0.16300000000000001</v>
      </c>
      <c r="E23" s="952"/>
      <c r="F23" s="952"/>
      <c r="G23" s="952"/>
      <c r="H23" s="628">
        <v>0.16800000000000001</v>
      </c>
      <c r="I23" s="952"/>
      <c r="J23" s="628">
        <v>0.114</v>
      </c>
      <c r="K23" s="952"/>
      <c r="L23" s="954"/>
    </row>
    <row r="24" spans="2:12" x14ac:dyDescent="0.25">
      <c r="B24" s="955">
        <v>36</v>
      </c>
      <c r="C24" s="633">
        <v>7.0000000000000001E-3</v>
      </c>
      <c r="D24" s="633">
        <v>6.7000000000000002E-3</v>
      </c>
      <c r="E24" s="951"/>
      <c r="F24" s="951"/>
      <c r="G24" s="951"/>
      <c r="H24" s="633">
        <v>7.0000000000000001E-3</v>
      </c>
      <c r="I24" s="951"/>
      <c r="J24" s="633">
        <v>5.0000000000000001E-3</v>
      </c>
      <c r="K24" s="951"/>
      <c r="L24" s="635">
        <v>4.0000000000000001E-3</v>
      </c>
    </row>
    <row r="25" spans="2:12" ht="13" thickBot="1" x14ac:dyDescent="0.3">
      <c r="B25" s="950"/>
      <c r="C25" s="628">
        <v>0.17799999999999999</v>
      </c>
      <c r="D25" s="628">
        <v>0.17</v>
      </c>
      <c r="E25" s="952"/>
      <c r="F25" s="952"/>
      <c r="G25" s="952"/>
      <c r="H25" s="628">
        <v>0.17799999999999999</v>
      </c>
      <c r="I25" s="952"/>
      <c r="J25" s="628">
        <v>0.127</v>
      </c>
      <c r="K25" s="952"/>
      <c r="L25" s="629">
        <v>0.10199999999999999</v>
      </c>
    </row>
    <row r="26" spans="2:12" x14ac:dyDescent="0.25">
      <c r="B26" s="955">
        <v>35</v>
      </c>
      <c r="C26" s="633">
        <v>7.7999999999999996E-3</v>
      </c>
      <c r="D26" s="633">
        <v>7.4999999999999997E-3</v>
      </c>
      <c r="E26" s="951"/>
      <c r="F26" s="951"/>
      <c r="G26" s="951"/>
      <c r="H26" s="633">
        <v>7.7999999999999996E-3</v>
      </c>
      <c r="I26" s="951"/>
      <c r="J26" s="633">
        <v>5.5999999999999999E-3</v>
      </c>
      <c r="K26" s="951"/>
      <c r="L26" s="635">
        <v>5.0000000000000001E-3</v>
      </c>
    </row>
    <row r="27" spans="2:12" ht="13" thickBot="1" x14ac:dyDescent="0.3">
      <c r="B27" s="950"/>
      <c r="C27" s="628">
        <v>0.19800000000000001</v>
      </c>
      <c r="D27" s="628">
        <v>0.19</v>
      </c>
      <c r="E27" s="952"/>
      <c r="F27" s="952"/>
      <c r="G27" s="952"/>
      <c r="H27" s="628">
        <v>0.19800000000000001</v>
      </c>
      <c r="I27" s="952"/>
      <c r="J27" s="628">
        <v>0.14199999999999999</v>
      </c>
      <c r="K27" s="952"/>
      <c r="L27" s="629">
        <v>0.127</v>
      </c>
    </row>
    <row r="28" spans="2:12" x14ac:dyDescent="0.25">
      <c r="B28" s="955">
        <v>34</v>
      </c>
      <c r="C28" s="633">
        <v>8.6E-3</v>
      </c>
      <c r="D28" s="633">
        <v>8.2000000000000007E-3</v>
      </c>
      <c r="E28" s="951"/>
      <c r="F28" s="951"/>
      <c r="G28" s="951"/>
      <c r="H28" s="633">
        <v>8.6E-3</v>
      </c>
      <c r="I28" s="951"/>
      <c r="J28" s="633">
        <v>6.3E-3</v>
      </c>
      <c r="K28" s="951"/>
      <c r="L28" s="635">
        <v>7.0000000000000001E-3</v>
      </c>
    </row>
    <row r="29" spans="2:12" ht="13" thickBot="1" x14ac:dyDescent="0.3">
      <c r="B29" s="950"/>
      <c r="C29" s="628">
        <v>0.218</v>
      </c>
      <c r="D29" s="628">
        <v>0.20799999999999999</v>
      </c>
      <c r="E29" s="952"/>
      <c r="F29" s="952"/>
      <c r="G29" s="952"/>
      <c r="H29" s="628">
        <v>0.218</v>
      </c>
      <c r="I29" s="952"/>
      <c r="J29" s="628">
        <v>0.16</v>
      </c>
      <c r="K29" s="952"/>
      <c r="L29" s="629">
        <v>0.17799999999999999</v>
      </c>
    </row>
    <row r="30" spans="2:12" x14ac:dyDescent="0.25">
      <c r="B30" s="955">
        <v>33</v>
      </c>
      <c r="C30" s="633">
        <v>9.4000000000000004E-3</v>
      </c>
      <c r="D30" s="633">
        <v>8.9999999999999993E-3</v>
      </c>
      <c r="E30" s="951"/>
      <c r="F30" s="951"/>
      <c r="G30" s="951"/>
      <c r="H30" s="633">
        <v>9.4000000000000004E-3</v>
      </c>
      <c r="I30" s="951"/>
      <c r="J30" s="633">
        <v>7.1000000000000004E-3</v>
      </c>
      <c r="K30" s="951"/>
      <c r="L30" s="635">
        <v>8.0000000000000002E-3</v>
      </c>
    </row>
    <row r="31" spans="2:12" ht="13" thickBot="1" x14ac:dyDescent="0.3">
      <c r="B31" s="950"/>
      <c r="C31" s="628">
        <v>0.23899999999999999</v>
      </c>
      <c r="D31" s="628">
        <v>0.22900000000000001</v>
      </c>
      <c r="E31" s="952"/>
      <c r="F31" s="952"/>
      <c r="G31" s="952"/>
      <c r="H31" s="628">
        <v>0.23899999999999999</v>
      </c>
      <c r="I31" s="952"/>
      <c r="J31" s="628">
        <v>0.18</v>
      </c>
      <c r="K31" s="952"/>
      <c r="L31" s="629">
        <v>0.20300000000000001</v>
      </c>
    </row>
    <row r="32" spans="2:12" x14ac:dyDescent="0.25">
      <c r="B32" s="955">
        <v>32</v>
      </c>
      <c r="C32" s="633">
        <v>1.0200000000000001E-2</v>
      </c>
      <c r="D32" s="633">
        <v>9.7000000000000003E-3</v>
      </c>
      <c r="E32" s="951"/>
      <c r="F32" s="951"/>
      <c r="G32" s="951"/>
      <c r="H32" s="633">
        <v>1.0200000000000001E-2</v>
      </c>
      <c r="I32" s="951"/>
      <c r="J32" s="633">
        <v>8.0000000000000002E-3</v>
      </c>
      <c r="K32" s="951"/>
      <c r="L32" s="635">
        <v>8.9999999999999993E-3</v>
      </c>
    </row>
    <row r="33" spans="2:12" ht="13" thickBot="1" x14ac:dyDescent="0.3">
      <c r="B33" s="950"/>
      <c r="C33" s="628">
        <v>0.25900000000000001</v>
      </c>
      <c r="D33" s="628">
        <v>0.246</v>
      </c>
      <c r="E33" s="952"/>
      <c r="F33" s="952"/>
      <c r="G33" s="952"/>
      <c r="H33" s="628">
        <v>0.25900000000000001</v>
      </c>
      <c r="I33" s="952"/>
      <c r="J33" s="628">
        <v>0.20300000000000001</v>
      </c>
      <c r="K33" s="952"/>
      <c r="L33" s="629">
        <v>0.22900000000000001</v>
      </c>
    </row>
    <row r="34" spans="2:12" x14ac:dyDescent="0.25">
      <c r="B34" s="955">
        <v>31</v>
      </c>
      <c r="C34" s="633">
        <v>1.09E-2</v>
      </c>
      <c r="D34" s="633">
        <v>1.0500000000000001E-2</v>
      </c>
      <c r="E34" s="951"/>
      <c r="F34" s="951"/>
      <c r="G34" s="951"/>
      <c r="H34" s="633">
        <v>1.09E-2</v>
      </c>
      <c r="I34" s="951"/>
      <c r="J34" s="633">
        <v>8.8999999999999999E-3</v>
      </c>
      <c r="K34" s="951"/>
      <c r="L34" s="635">
        <v>0.01</v>
      </c>
    </row>
    <row r="35" spans="2:12" ht="13" thickBot="1" x14ac:dyDescent="0.3">
      <c r="B35" s="950"/>
      <c r="C35" s="628">
        <v>0.27700000000000002</v>
      </c>
      <c r="D35" s="628">
        <v>0.26700000000000002</v>
      </c>
      <c r="E35" s="952"/>
      <c r="F35" s="952"/>
      <c r="G35" s="952"/>
      <c r="H35" s="628">
        <v>0.27700000000000002</v>
      </c>
      <c r="I35" s="952"/>
      <c r="J35" s="628">
        <v>0.22600000000000001</v>
      </c>
      <c r="K35" s="952"/>
      <c r="L35" s="629">
        <v>0.254</v>
      </c>
    </row>
    <row r="36" spans="2:12" x14ac:dyDescent="0.25">
      <c r="B36" s="955">
        <v>30</v>
      </c>
      <c r="C36" s="633">
        <v>1.2500000000000001E-2</v>
      </c>
      <c r="D36" s="633">
        <v>1.2E-2</v>
      </c>
      <c r="E36" s="633">
        <v>0.5</v>
      </c>
      <c r="F36" s="633">
        <v>1.6E-2</v>
      </c>
      <c r="G36" s="633">
        <v>0.65600000000000003</v>
      </c>
      <c r="H36" s="633">
        <v>1.2500000000000001E-2</v>
      </c>
      <c r="I36" s="951"/>
      <c r="J36" s="633">
        <v>0.01</v>
      </c>
      <c r="K36" s="633">
        <v>0.14099999999999999</v>
      </c>
      <c r="L36" s="635">
        <v>1.2E-2</v>
      </c>
    </row>
    <row r="37" spans="2:12" ht="13" thickBot="1" x14ac:dyDescent="0.3">
      <c r="B37" s="950"/>
      <c r="C37" s="628">
        <v>0.318</v>
      </c>
      <c r="D37" s="628">
        <v>0.30499999999999999</v>
      </c>
      <c r="E37" s="759">
        <v>2.42</v>
      </c>
      <c r="F37" s="628">
        <v>0.40600000000000003</v>
      </c>
      <c r="G37" s="759">
        <v>3.18</v>
      </c>
      <c r="H37" s="628">
        <v>0.318</v>
      </c>
      <c r="I37" s="952"/>
      <c r="J37" s="628">
        <v>0.254</v>
      </c>
      <c r="K37" s="759">
        <v>0.68300000000000005</v>
      </c>
      <c r="L37" s="629">
        <v>0.30499999999999999</v>
      </c>
    </row>
    <row r="38" spans="2:12" x14ac:dyDescent="0.25">
      <c r="B38" s="955">
        <v>29</v>
      </c>
      <c r="C38" s="633">
        <v>1.41E-2</v>
      </c>
      <c r="D38" s="633">
        <v>1.35E-2</v>
      </c>
      <c r="E38" s="633">
        <v>0.56299999999999994</v>
      </c>
      <c r="F38" s="633">
        <v>1.7000000000000001E-2</v>
      </c>
      <c r="G38" s="633">
        <v>0.71899999999999997</v>
      </c>
      <c r="H38" s="633">
        <v>1.41E-2</v>
      </c>
      <c r="I38" s="951"/>
      <c r="J38" s="633">
        <v>1.1299999999999999E-2</v>
      </c>
      <c r="K38" s="633">
        <v>0.16</v>
      </c>
      <c r="L38" s="635">
        <v>1.2999999999999999E-2</v>
      </c>
    </row>
    <row r="39" spans="2:12" ht="13" thickBot="1" x14ac:dyDescent="0.3">
      <c r="B39" s="950"/>
      <c r="C39" s="628">
        <v>0.35799999999999998</v>
      </c>
      <c r="D39" s="628">
        <v>0.34300000000000003</v>
      </c>
      <c r="E39" s="759">
        <v>2.73</v>
      </c>
      <c r="F39" s="628">
        <v>0.432</v>
      </c>
      <c r="G39" s="759">
        <v>3.48</v>
      </c>
      <c r="H39" s="628">
        <v>0.35799999999999998</v>
      </c>
      <c r="I39" s="952"/>
      <c r="J39" s="628">
        <v>0.28699999999999998</v>
      </c>
      <c r="K39" s="759">
        <v>0.77500000000000002</v>
      </c>
      <c r="L39" s="629">
        <v>0.33</v>
      </c>
    </row>
    <row r="40" spans="2:12" x14ac:dyDescent="0.25">
      <c r="B40" s="955">
        <v>28</v>
      </c>
      <c r="C40" s="633">
        <v>1.5599999999999999E-2</v>
      </c>
      <c r="D40" s="633">
        <v>1.49E-2</v>
      </c>
      <c r="E40" s="633">
        <v>0.625</v>
      </c>
      <c r="F40" s="633">
        <v>1.9E-2</v>
      </c>
      <c r="G40" s="633">
        <v>0.78100000000000003</v>
      </c>
      <c r="H40" s="633">
        <v>1.5599999999999999E-2</v>
      </c>
      <c r="I40" s="951"/>
      <c r="J40" s="633">
        <v>1.26E-2</v>
      </c>
      <c r="K40" s="633">
        <v>0.17799999999999999</v>
      </c>
      <c r="L40" s="635">
        <v>1.4E-2</v>
      </c>
    </row>
    <row r="41" spans="2:12" ht="13" thickBot="1" x14ac:dyDescent="0.3">
      <c r="B41" s="950"/>
      <c r="C41" s="628">
        <v>0.39600000000000002</v>
      </c>
      <c r="D41" s="628">
        <v>0.378</v>
      </c>
      <c r="E41" s="759">
        <v>3.03</v>
      </c>
      <c r="F41" s="628">
        <v>0.48299999999999998</v>
      </c>
      <c r="G41" s="770">
        <v>3.78</v>
      </c>
      <c r="H41" s="628">
        <v>0.39600000000000002</v>
      </c>
      <c r="I41" s="952"/>
      <c r="J41" s="628">
        <v>0.32</v>
      </c>
      <c r="K41" s="759">
        <v>0.86199999999999999</v>
      </c>
      <c r="L41" s="629">
        <v>0.35599999999999998</v>
      </c>
    </row>
    <row r="42" spans="2:12" x14ac:dyDescent="0.25">
      <c r="B42" s="955">
        <v>27</v>
      </c>
      <c r="C42" s="633">
        <v>1.72E-2</v>
      </c>
      <c r="D42" s="633">
        <v>1.6400000000000001E-2</v>
      </c>
      <c r="E42" s="633">
        <v>0.68799999999999994</v>
      </c>
      <c r="F42" s="633">
        <v>0.02</v>
      </c>
      <c r="G42" s="633">
        <v>0.84399999999999997</v>
      </c>
      <c r="H42" s="633">
        <v>1.72E-2</v>
      </c>
      <c r="I42" s="951"/>
      <c r="J42" s="633">
        <v>1.4200000000000001E-2</v>
      </c>
      <c r="K42" s="633">
        <v>0.2</v>
      </c>
      <c r="L42" s="635">
        <v>1.6E-2</v>
      </c>
    </row>
    <row r="43" spans="2:12" ht="13" thickBot="1" x14ac:dyDescent="0.3">
      <c r="B43" s="950"/>
      <c r="C43" s="628">
        <v>0.437</v>
      </c>
      <c r="D43" s="628">
        <v>0.41699999999999998</v>
      </c>
      <c r="E43" s="759">
        <v>3.33</v>
      </c>
      <c r="F43" s="628">
        <v>0.50800000000000001</v>
      </c>
      <c r="G43" s="759">
        <v>4.09</v>
      </c>
      <c r="H43" s="628">
        <v>0.437</v>
      </c>
      <c r="I43" s="952"/>
      <c r="J43" s="628">
        <v>0.36099999999999999</v>
      </c>
      <c r="K43" s="759">
        <v>0.96899999999999997</v>
      </c>
      <c r="L43" s="629">
        <v>0.40600000000000003</v>
      </c>
    </row>
    <row r="44" spans="2:12" x14ac:dyDescent="0.25">
      <c r="B44" s="955">
        <v>26</v>
      </c>
      <c r="C44" s="633">
        <v>1.8800000000000001E-2</v>
      </c>
      <c r="D44" s="633">
        <v>1.7899999999999999E-2</v>
      </c>
      <c r="E44" s="633">
        <v>0.75</v>
      </c>
      <c r="F44" s="633">
        <v>2.1999999999999999E-2</v>
      </c>
      <c r="G44" s="633">
        <v>0.90600000000000003</v>
      </c>
      <c r="H44" s="633">
        <v>1.8700000000000001E-2</v>
      </c>
      <c r="I44" s="633">
        <v>0.75600000000000001</v>
      </c>
      <c r="J44" s="633">
        <v>1.5900000000000001E-2</v>
      </c>
      <c r="K44" s="633">
        <v>0.224</v>
      </c>
      <c r="L44" s="635">
        <v>1.7999999999999999E-2</v>
      </c>
    </row>
    <row r="45" spans="2:12" ht="13" thickBot="1" x14ac:dyDescent="0.3">
      <c r="B45" s="950"/>
      <c r="C45" s="628">
        <v>0.47799999999999998</v>
      </c>
      <c r="D45" s="628">
        <v>0.45500000000000002</v>
      </c>
      <c r="E45" s="759">
        <v>3.63</v>
      </c>
      <c r="F45" s="628">
        <v>0.55900000000000005</v>
      </c>
      <c r="G45" s="770">
        <v>4.3899999999999997</v>
      </c>
      <c r="H45" s="628">
        <v>0.47499999999999998</v>
      </c>
      <c r="I45" s="759">
        <v>3.66</v>
      </c>
      <c r="J45" s="628">
        <v>0.40400000000000003</v>
      </c>
      <c r="K45" s="759">
        <v>1.0900000000000001</v>
      </c>
      <c r="L45" s="629">
        <v>0.45700000000000002</v>
      </c>
    </row>
    <row r="46" spans="2:12" x14ac:dyDescent="0.25">
      <c r="B46" s="955">
        <v>25</v>
      </c>
      <c r="C46" s="633">
        <v>2.1899999999999999E-2</v>
      </c>
      <c r="D46" s="633">
        <v>2.0899999999999998E-2</v>
      </c>
      <c r="E46" s="633">
        <v>0.875</v>
      </c>
      <c r="F46" s="633">
        <v>2.5000000000000001E-2</v>
      </c>
      <c r="G46" s="633">
        <v>1.0309999999999999</v>
      </c>
      <c r="H46" s="633">
        <v>2.1899999999999999E-2</v>
      </c>
      <c r="I46" s="951"/>
      <c r="J46" s="633">
        <v>1.7899999999999999E-2</v>
      </c>
      <c r="K46" s="633">
        <v>0.253</v>
      </c>
      <c r="L46" s="635">
        <v>0.02</v>
      </c>
    </row>
    <row r="47" spans="2:12" ht="13" thickBot="1" x14ac:dyDescent="0.3">
      <c r="B47" s="950"/>
      <c r="C47" s="628">
        <v>0.55600000000000005</v>
      </c>
      <c r="D47" s="628">
        <v>0.53100000000000003</v>
      </c>
      <c r="E47" s="759">
        <v>4.24</v>
      </c>
      <c r="F47" s="628">
        <v>0.63500000000000001</v>
      </c>
      <c r="G47" s="759">
        <v>4.99</v>
      </c>
      <c r="H47" s="628">
        <v>0.55600000000000005</v>
      </c>
      <c r="I47" s="952"/>
      <c r="J47" s="628">
        <v>0.45500000000000002</v>
      </c>
      <c r="K47" s="759">
        <v>1.23</v>
      </c>
      <c r="L47" s="629">
        <v>0.50800000000000001</v>
      </c>
    </row>
    <row r="48" spans="2:12" x14ac:dyDescent="0.25">
      <c r="B48" s="955">
        <v>24</v>
      </c>
      <c r="C48" s="633">
        <v>2.5000000000000001E-2</v>
      </c>
      <c r="D48" s="633">
        <v>2.3900000000000001E-2</v>
      </c>
      <c r="E48" s="633">
        <v>1</v>
      </c>
      <c r="F48" s="633">
        <v>2.8000000000000001E-2</v>
      </c>
      <c r="G48" s="633">
        <v>1.1559999999999999</v>
      </c>
      <c r="H48" s="633">
        <v>2.5000000000000001E-2</v>
      </c>
      <c r="I48" s="633">
        <v>1.008</v>
      </c>
      <c r="J48" s="633">
        <v>2.01E-2</v>
      </c>
      <c r="K48" s="633">
        <v>0.28399999999999997</v>
      </c>
      <c r="L48" s="635">
        <v>2.1999999999999999E-2</v>
      </c>
    </row>
    <row r="49" spans="2:12" ht="13" thickBot="1" x14ac:dyDescent="0.3">
      <c r="B49" s="950"/>
      <c r="C49" s="628">
        <v>0.63500000000000001</v>
      </c>
      <c r="D49" s="628">
        <v>0.60699999999999998</v>
      </c>
      <c r="E49" s="759">
        <v>4.84</v>
      </c>
      <c r="F49" s="628">
        <v>0.71099999999999997</v>
      </c>
      <c r="G49" s="759">
        <v>5.6</v>
      </c>
      <c r="H49" s="628">
        <v>0.63500000000000001</v>
      </c>
      <c r="I49" s="759">
        <v>4.88</v>
      </c>
      <c r="J49" s="628">
        <v>0.51100000000000001</v>
      </c>
      <c r="K49" s="759">
        <v>1.38</v>
      </c>
      <c r="L49" s="629">
        <v>0.55900000000000005</v>
      </c>
    </row>
    <row r="50" spans="2:12" x14ac:dyDescent="0.25">
      <c r="B50" s="955">
        <v>23</v>
      </c>
      <c r="C50" s="633">
        <v>2.81E-2</v>
      </c>
      <c r="D50" s="633">
        <v>2.69E-2</v>
      </c>
      <c r="E50" s="633">
        <v>1.125</v>
      </c>
      <c r="F50" s="633">
        <v>3.1E-2</v>
      </c>
      <c r="G50" s="633">
        <v>1.2809999999999999</v>
      </c>
      <c r="H50" s="633">
        <v>2.81E-2</v>
      </c>
      <c r="I50" s="951"/>
      <c r="J50" s="633">
        <v>2.2599999999999999E-2</v>
      </c>
      <c r="K50" s="633">
        <v>0.31900000000000001</v>
      </c>
      <c r="L50" s="635">
        <v>2.5000000000000001E-2</v>
      </c>
    </row>
    <row r="51" spans="2:12" ht="13" thickBot="1" x14ac:dyDescent="0.3">
      <c r="B51" s="950"/>
      <c r="C51" s="628">
        <v>0.71399999999999997</v>
      </c>
      <c r="D51" s="628">
        <v>0.68300000000000005</v>
      </c>
      <c r="E51" s="759">
        <v>5.45</v>
      </c>
      <c r="F51" s="628">
        <v>0.78700000000000003</v>
      </c>
      <c r="G51" s="759">
        <v>6.21</v>
      </c>
      <c r="H51" s="628">
        <v>0.71399999999999997</v>
      </c>
      <c r="I51" s="952"/>
      <c r="J51" s="628">
        <v>0.57399999999999995</v>
      </c>
      <c r="K51" s="759">
        <v>1.55</v>
      </c>
      <c r="L51" s="629">
        <v>0.63500000000000001</v>
      </c>
    </row>
    <row r="52" spans="2:12" x14ac:dyDescent="0.25">
      <c r="B52" s="955">
        <v>22</v>
      </c>
      <c r="C52" s="633">
        <v>3.1300000000000001E-2</v>
      </c>
      <c r="D52" s="633">
        <v>2.9899999999999999E-2</v>
      </c>
      <c r="E52" s="633">
        <v>1.25</v>
      </c>
      <c r="F52" s="633">
        <v>3.4000000000000002E-2</v>
      </c>
      <c r="G52" s="633">
        <v>1.4059999999999999</v>
      </c>
      <c r="H52" s="633">
        <v>3.1199999999999999E-2</v>
      </c>
      <c r="I52" s="633">
        <v>1.26</v>
      </c>
      <c r="J52" s="633">
        <v>2.53E-2</v>
      </c>
      <c r="K52" s="633">
        <v>0.35699999999999998</v>
      </c>
      <c r="L52" s="635">
        <v>2.8000000000000001E-2</v>
      </c>
    </row>
    <row r="53" spans="2:12" ht="13" thickBot="1" x14ac:dyDescent="0.3">
      <c r="B53" s="950"/>
      <c r="C53" s="628">
        <v>0.79500000000000004</v>
      </c>
      <c r="D53" s="628">
        <v>0.75900000000000001</v>
      </c>
      <c r="E53" s="759">
        <v>6.05</v>
      </c>
      <c r="F53" s="628">
        <v>0.86399999999999999</v>
      </c>
      <c r="G53" s="759">
        <v>6.81</v>
      </c>
      <c r="H53" s="628">
        <v>0.79200000000000004</v>
      </c>
      <c r="I53" s="759">
        <v>6.1</v>
      </c>
      <c r="J53" s="628">
        <v>0.64300000000000002</v>
      </c>
      <c r="K53" s="759">
        <v>1.73</v>
      </c>
      <c r="L53" s="629">
        <v>0.71099999999999997</v>
      </c>
    </row>
    <row r="54" spans="2:12" x14ac:dyDescent="0.25">
      <c r="B54" s="955">
        <v>21</v>
      </c>
      <c r="C54" s="633">
        <v>3.44E-2</v>
      </c>
      <c r="D54" s="633">
        <v>3.2899999999999999E-2</v>
      </c>
      <c r="E54" s="633">
        <v>1.375</v>
      </c>
      <c r="F54" s="633">
        <v>3.6999999999999998E-2</v>
      </c>
      <c r="G54" s="633">
        <v>1.5309999999999999</v>
      </c>
      <c r="H54" s="633">
        <v>3.44E-2</v>
      </c>
      <c r="I54" s="951"/>
      <c r="J54" s="633">
        <v>2.8500000000000001E-2</v>
      </c>
      <c r="K54" s="633">
        <v>0.40200000000000002</v>
      </c>
      <c r="L54" s="635">
        <v>3.2000000000000001E-2</v>
      </c>
    </row>
    <row r="55" spans="2:12" ht="13" thickBot="1" x14ac:dyDescent="0.3">
      <c r="B55" s="950"/>
      <c r="C55" s="628">
        <v>0.874</v>
      </c>
      <c r="D55" s="628">
        <v>0.83599999999999997</v>
      </c>
      <c r="E55" s="759">
        <v>6.66</v>
      </c>
      <c r="F55" s="628">
        <v>0.94</v>
      </c>
      <c r="G55" s="759">
        <v>7.42</v>
      </c>
      <c r="H55" s="628">
        <v>0.874</v>
      </c>
      <c r="I55" s="952"/>
      <c r="J55" s="628">
        <v>0.72399999999999998</v>
      </c>
      <c r="K55" s="759">
        <v>1.95</v>
      </c>
      <c r="L55" s="629">
        <v>0.81299999999999994</v>
      </c>
    </row>
    <row r="56" spans="2:12" x14ac:dyDescent="0.25">
      <c r="B56" s="955">
        <v>20</v>
      </c>
      <c r="C56" s="633">
        <v>3.7499999999999999E-2</v>
      </c>
      <c r="D56" s="633">
        <v>3.5900000000000001E-2</v>
      </c>
      <c r="E56" s="633">
        <v>1.5</v>
      </c>
      <c r="F56" s="633">
        <v>0.04</v>
      </c>
      <c r="G56" s="633">
        <v>1.6559999999999999</v>
      </c>
      <c r="H56" s="633">
        <v>3.7499999999999999E-2</v>
      </c>
      <c r="I56" s="633">
        <v>1.512</v>
      </c>
      <c r="J56" s="633">
        <v>3.2000000000000001E-2</v>
      </c>
      <c r="K56" s="633">
        <v>0.45200000000000001</v>
      </c>
      <c r="L56" s="635">
        <v>3.5000000000000003E-2</v>
      </c>
    </row>
    <row r="57" spans="2:12" ht="13" thickBot="1" x14ac:dyDescent="0.3">
      <c r="B57" s="950"/>
      <c r="C57" s="628">
        <v>0.95199999999999996</v>
      </c>
      <c r="D57" s="628">
        <v>0.91200000000000003</v>
      </c>
      <c r="E57" s="759">
        <v>7.27</v>
      </c>
      <c r="F57" s="628">
        <v>1.02</v>
      </c>
      <c r="G57" s="759">
        <v>8.02</v>
      </c>
      <c r="H57" s="628">
        <v>0.95199999999999996</v>
      </c>
      <c r="I57" s="759">
        <v>7.32</v>
      </c>
      <c r="J57" s="628">
        <v>0.81299999999999994</v>
      </c>
      <c r="K57" s="759">
        <v>2.19</v>
      </c>
      <c r="L57" s="629">
        <v>0.88900000000000001</v>
      </c>
    </row>
    <row r="58" spans="2:12" x14ac:dyDescent="0.25">
      <c r="B58" s="955">
        <v>19</v>
      </c>
      <c r="C58" s="633">
        <v>4.3799999999999999E-2</v>
      </c>
      <c r="D58" s="633">
        <v>4.1799999999999997E-2</v>
      </c>
      <c r="E58" s="633">
        <v>1.75</v>
      </c>
      <c r="F58" s="633">
        <v>4.5999999999999999E-2</v>
      </c>
      <c r="G58" s="633">
        <v>1.9059999999999999</v>
      </c>
      <c r="H58" s="633">
        <v>4.3700000000000003E-2</v>
      </c>
      <c r="I58" s="951"/>
      <c r="J58" s="633">
        <v>3.5900000000000001E-2</v>
      </c>
      <c r="K58" s="633">
        <v>0.50700000000000001</v>
      </c>
      <c r="L58" s="635">
        <v>4.2000000000000003E-2</v>
      </c>
    </row>
    <row r="59" spans="2:12" ht="13" thickBot="1" x14ac:dyDescent="0.3">
      <c r="B59" s="950"/>
      <c r="C59" s="628">
        <v>1.1100000000000001</v>
      </c>
      <c r="D59" s="628">
        <v>1.06</v>
      </c>
      <c r="E59" s="759">
        <v>8.48</v>
      </c>
      <c r="F59" s="628">
        <v>1.17</v>
      </c>
      <c r="G59" s="759">
        <v>9.23</v>
      </c>
      <c r="H59" s="628">
        <v>1.1100000000000001</v>
      </c>
      <c r="I59" s="952"/>
      <c r="J59" s="628">
        <v>0.91200000000000003</v>
      </c>
      <c r="K59" s="759">
        <v>2.46</v>
      </c>
      <c r="L59" s="629">
        <v>1.07</v>
      </c>
    </row>
    <row r="60" spans="2:12" x14ac:dyDescent="0.25">
      <c r="B60" s="955">
        <v>18</v>
      </c>
      <c r="C60" s="633">
        <v>0.05</v>
      </c>
      <c r="D60" s="633">
        <v>4.7800000000000002E-2</v>
      </c>
      <c r="E60" s="633">
        <v>2</v>
      </c>
      <c r="F60" s="633">
        <v>5.1999999999999998E-2</v>
      </c>
      <c r="G60" s="633">
        <v>2.1560000000000001</v>
      </c>
      <c r="H60" s="633">
        <v>0.05</v>
      </c>
      <c r="I60" s="633">
        <v>2.016</v>
      </c>
      <c r="J60" s="633">
        <v>4.0300000000000002E-2</v>
      </c>
      <c r="K60" s="633">
        <v>0.56899999999999995</v>
      </c>
      <c r="L60" s="635">
        <v>4.9000000000000002E-2</v>
      </c>
    </row>
    <row r="61" spans="2:12" ht="13" thickBot="1" x14ac:dyDescent="0.3">
      <c r="B61" s="950"/>
      <c r="C61" s="628">
        <v>1.27</v>
      </c>
      <c r="D61" s="628">
        <v>1.21</v>
      </c>
      <c r="E61" s="759">
        <v>9.69</v>
      </c>
      <c r="F61" s="628">
        <v>1.32</v>
      </c>
      <c r="G61" s="759">
        <v>10.4</v>
      </c>
      <c r="H61" s="628">
        <v>1.27</v>
      </c>
      <c r="I61" s="759">
        <v>9.77</v>
      </c>
      <c r="J61" s="628">
        <v>1.02</v>
      </c>
      <c r="K61" s="759">
        <v>2.76</v>
      </c>
      <c r="L61" s="629">
        <v>1.24</v>
      </c>
    </row>
    <row r="62" spans="2:12" x14ac:dyDescent="0.25">
      <c r="B62" s="955">
        <v>17</v>
      </c>
      <c r="C62" s="633">
        <v>5.6300000000000003E-2</v>
      </c>
      <c r="D62" s="633">
        <v>5.3800000000000001E-2</v>
      </c>
      <c r="E62" s="633">
        <v>2.25</v>
      </c>
      <c r="F62" s="633">
        <v>5.8000000000000003E-2</v>
      </c>
      <c r="G62" s="633">
        <v>2.4060000000000001</v>
      </c>
      <c r="H62" s="633">
        <v>5.62E-2</v>
      </c>
      <c r="I62" s="951"/>
      <c r="J62" s="633">
        <v>4.53E-2</v>
      </c>
      <c r="K62" s="633">
        <v>0.63900000000000001</v>
      </c>
      <c r="L62" s="635">
        <v>5.8000000000000003E-2</v>
      </c>
    </row>
    <row r="63" spans="2:12" ht="13" thickBot="1" x14ac:dyDescent="0.3">
      <c r="B63" s="950"/>
      <c r="C63" s="628">
        <v>1.43</v>
      </c>
      <c r="D63" s="628">
        <v>1.37</v>
      </c>
      <c r="E63" s="759">
        <v>10.9</v>
      </c>
      <c r="F63" s="628">
        <v>1.47</v>
      </c>
      <c r="G63" s="759">
        <v>11.7</v>
      </c>
      <c r="H63" s="628">
        <v>1.43</v>
      </c>
      <c r="I63" s="952"/>
      <c r="J63" s="628">
        <v>1.1499999999999999</v>
      </c>
      <c r="K63" s="759">
        <v>3.1</v>
      </c>
      <c r="L63" s="629">
        <v>1.47</v>
      </c>
    </row>
    <row r="64" spans="2:12" x14ac:dyDescent="0.25">
      <c r="B64" s="955">
        <v>16</v>
      </c>
      <c r="C64" s="633">
        <v>6.25E-2</v>
      </c>
      <c r="D64" s="633">
        <v>5.9799999999999999E-2</v>
      </c>
      <c r="E64" s="633">
        <v>2.5</v>
      </c>
      <c r="F64" s="633">
        <v>6.4000000000000001E-2</v>
      </c>
      <c r="G64" s="633">
        <v>2.6560000000000001</v>
      </c>
      <c r="H64" s="633">
        <v>6.25E-2</v>
      </c>
      <c r="I64" s="633">
        <v>2.52</v>
      </c>
      <c r="J64" s="633">
        <v>5.0799999999999998E-2</v>
      </c>
      <c r="K64" s="633">
        <v>0.71699999999999997</v>
      </c>
      <c r="L64" s="635">
        <v>6.5000000000000002E-2</v>
      </c>
    </row>
    <row r="65" spans="2:12" ht="13" thickBot="1" x14ac:dyDescent="0.3">
      <c r="B65" s="950"/>
      <c r="C65" s="628">
        <v>1.59</v>
      </c>
      <c r="D65" s="628">
        <v>1.52</v>
      </c>
      <c r="E65" s="759">
        <v>12.1</v>
      </c>
      <c r="F65" s="628">
        <v>1.63</v>
      </c>
      <c r="G65" s="759">
        <v>12.9</v>
      </c>
      <c r="H65" s="628">
        <v>1.59</v>
      </c>
      <c r="I65" s="759">
        <v>12.2</v>
      </c>
      <c r="J65" s="628">
        <v>1.29</v>
      </c>
      <c r="K65" s="759">
        <v>3.47</v>
      </c>
      <c r="L65" s="629">
        <v>1.65</v>
      </c>
    </row>
    <row r="66" spans="2:12" x14ac:dyDescent="0.25">
      <c r="B66" s="955">
        <v>15</v>
      </c>
      <c r="C66" s="633">
        <v>7.0300000000000001E-2</v>
      </c>
      <c r="D66" s="633">
        <v>6.7299999999999999E-2</v>
      </c>
      <c r="E66" s="633">
        <v>2.8130000000000002</v>
      </c>
      <c r="F66" s="633">
        <v>7.0999999999999994E-2</v>
      </c>
      <c r="G66" s="633">
        <v>2.9689999999999999</v>
      </c>
      <c r="H66" s="633">
        <v>7.0300000000000001E-2</v>
      </c>
      <c r="I66" s="951"/>
      <c r="J66" s="633">
        <v>5.7099999999999998E-2</v>
      </c>
      <c r="K66" s="633">
        <v>0.80600000000000005</v>
      </c>
      <c r="L66" s="635">
        <v>7.1999999999999995E-2</v>
      </c>
    </row>
    <row r="67" spans="2:12" ht="13" thickBot="1" x14ac:dyDescent="0.3">
      <c r="B67" s="950"/>
      <c r="C67" s="628">
        <v>1.79</v>
      </c>
      <c r="D67" s="628">
        <v>1.71</v>
      </c>
      <c r="E67" s="759">
        <v>13.6</v>
      </c>
      <c r="F67" s="628">
        <v>1.8</v>
      </c>
      <c r="G67" s="759">
        <v>14.4</v>
      </c>
      <c r="H67" s="628">
        <v>1.79</v>
      </c>
      <c r="I67" s="952"/>
      <c r="J67" s="628">
        <v>1.45</v>
      </c>
      <c r="K67" s="759">
        <v>3.9</v>
      </c>
      <c r="L67" s="629">
        <v>1.83</v>
      </c>
    </row>
    <row r="68" spans="2:12" x14ac:dyDescent="0.25">
      <c r="B68" s="955">
        <v>14</v>
      </c>
      <c r="C68" s="633">
        <v>7.8100000000000003E-2</v>
      </c>
      <c r="D68" s="633">
        <v>7.4700000000000003E-2</v>
      </c>
      <c r="E68" s="633">
        <v>3.125</v>
      </c>
      <c r="F68" s="633">
        <v>7.9000000000000001E-2</v>
      </c>
      <c r="G68" s="633">
        <v>3.2810000000000001</v>
      </c>
      <c r="H68" s="633">
        <v>7.8100000000000003E-2</v>
      </c>
      <c r="I68" s="633">
        <v>3.15</v>
      </c>
      <c r="J68" s="633">
        <v>6.4100000000000004E-2</v>
      </c>
      <c r="K68" s="633">
        <v>0.90500000000000003</v>
      </c>
      <c r="L68" s="635">
        <v>8.3000000000000004E-2</v>
      </c>
    </row>
    <row r="69" spans="2:12" ht="13" thickBot="1" x14ac:dyDescent="0.3">
      <c r="B69" s="950"/>
      <c r="C69" s="628">
        <v>1.98</v>
      </c>
      <c r="D69" s="628">
        <v>1.9</v>
      </c>
      <c r="E69" s="759">
        <v>15.1</v>
      </c>
      <c r="F69" s="628">
        <v>2.0099999999999998</v>
      </c>
      <c r="G69" s="759">
        <v>15.9</v>
      </c>
      <c r="H69" s="628">
        <v>1.98</v>
      </c>
      <c r="I69" s="759">
        <v>15.3</v>
      </c>
      <c r="J69" s="628">
        <v>1.63</v>
      </c>
      <c r="K69" s="759">
        <v>4.38</v>
      </c>
      <c r="L69" s="629">
        <v>2.11</v>
      </c>
    </row>
    <row r="70" spans="2:12" x14ac:dyDescent="0.25">
      <c r="B70" s="955">
        <v>13</v>
      </c>
      <c r="C70" s="633">
        <v>9.3799999999999994E-2</v>
      </c>
      <c r="D70" s="633">
        <v>8.9700000000000002E-2</v>
      </c>
      <c r="E70" s="633">
        <v>3.75</v>
      </c>
      <c r="F70" s="633">
        <v>9.2999999999999999E-2</v>
      </c>
      <c r="G70" s="633">
        <v>3.9060000000000001</v>
      </c>
      <c r="H70" s="633">
        <v>9.3700000000000006E-2</v>
      </c>
      <c r="I70" s="951"/>
      <c r="J70" s="633">
        <v>7.1999999999999995E-2</v>
      </c>
      <c r="K70" s="633">
        <v>1.016</v>
      </c>
      <c r="L70" s="635">
        <v>9.5000000000000001E-2</v>
      </c>
    </row>
    <row r="71" spans="2:12" ht="13" thickBot="1" x14ac:dyDescent="0.3">
      <c r="B71" s="950"/>
      <c r="C71" s="628">
        <v>2.38</v>
      </c>
      <c r="D71" s="628">
        <v>2.2799999999999998</v>
      </c>
      <c r="E71" s="759">
        <v>18.2</v>
      </c>
      <c r="F71" s="628">
        <v>2.36</v>
      </c>
      <c r="G71" s="759">
        <v>18.899999999999999</v>
      </c>
      <c r="H71" s="628">
        <v>2.38</v>
      </c>
      <c r="I71" s="952"/>
      <c r="J71" s="628">
        <v>1.83</v>
      </c>
      <c r="K71" s="759">
        <v>4.92</v>
      </c>
      <c r="L71" s="629">
        <v>2.41</v>
      </c>
    </row>
    <row r="72" spans="2:12" x14ac:dyDescent="0.25">
      <c r="B72" s="955">
        <v>12</v>
      </c>
      <c r="C72" s="633">
        <v>0.1094</v>
      </c>
      <c r="D72" s="633">
        <v>0.1046</v>
      </c>
      <c r="E72" s="633">
        <v>4.375</v>
      </c>
      <c r="F72" s="633">
        <v>0.108</v>
      </c>
      <c r="G72" s="633">
        <v>4.5309999999999997</v>
      </c>
      <c r="H72" s="633">
        <v>0.1094</v>
      </c>
      <c r="I72" s="633">
        <v>4.41</v>
      </c>
      <c r="J72" s="633">
        <v>8.0799999999999997E-2</v>
      </c>
      <c r="K72" s="633">
        <v>1.1399999999999999</v>
      </c>
      <c r="L72" s="635">
        <v>0.109</v>
      </c>
    </row>
    <row r="73" spans="2:12" ht="13" thickBot="1" x14ac:dyDescent="0.3">
      <c r="B73" s="950"/>
      <c r="C73" s="628">
        <v>2.78</v>
      </c>
      <c r="D73" s="628">
        <v>2.66</v>
      </c>
      <c r="E73" s="759">
        <v>21.2</v>
      </c>
      <c r="F73" s="628">
        <v>2.74</v>
      </c>
      <c r="G73" s="759">
        <v>21.9</v>
      </c>
      <c r="H73" s="628">
        <v>2.78</v>
      </c>
      <c r="I73" s="759">
        <v>21.4</v>
      </c>
      <c r="J73" s="628">
        <v>2.0499999999999998</v>
      </c>
      <c r="K73" s="759">
        <v>5.52</v>
      </c>
      <c r="L73" s="629">
        <v>2.77</v>
      </c>
    </row>
    <row r="74" spans="2:12" x14ac:dyDescent="0.25">
      <c r="B74" s="955">
        <v>11</v>
      </c>
      <c r="C74" s="633">
        <v>0.125</v>
      </c>
      <c r="D74" s="633">
        <v>0.1196</v>
      </c>
      <c r="E74" s="633">
        <v>5</v>
      </c>
      <c r="F74" s="633">
        <v>0.123</v>
      </c>
      <c r="G74" s="633">
        <v>5.1559999999999997</v>
      </c>
      <c r="H74" s="633">
        <v>0.125</v>
      </c>
      <c r="I74" s="633">
        <v>5.04</v>
      </c>
      <c r="J74" s="633">
        <v>9.0700000000000003E-2</v>
      </c>
      <c r="K74" s="633">
        <v>1.28</v>
      </c>
      <c r="L74" s="635">
        <v>0.12</v>
      </c>
    </row>
    <row r="75" spans="2:12" ht="13" thickBot="1" x14ac:dyDescent="0.3">
      <c r="B75" s="950"/>
      <c r="C75" s="628">
        <v>3.18</v>
      </c>
      <c r="D75" s="628">
        <v>3.04</v>
      </c>
      <c r="E75" s="759">
        <v>24.2</v>
      </c>
      <c r="F75" s="628">
        <v>3.12</v>
      </c>
      <c r="G75" s="759">
        <v>25</v>
      </c>
      <c r="H75" s="628">
        <v>3.18</v>
      </c>
      <c r="I75" s="759">
        <v>24.4</v>
      </c>
      <c r="J75" s="628">
        <v>2.2999999999999998</v>
      </c>
      <c r="K75" s="759">
        <v>6.2</v>
      </c>
      <c r="L75" s="629">
        <v>3.05</v>
      </c>
    </row>
    <row r="76" spans="2:12" x14ac:dyDescent="0.25">
      <c r="B76" s="955">
        <v>10</v>
      </c>
      <c r="C76" s="633">
        <v>0.1406</v>
      </c>
      <c r="D76" s="633">
        <v>0.13450000000000001</v>
      </c>
      <c r="E76" s="633">
        <v>5.625</v>
      </c>
      <c r="F76" s="633">
        <v>0.13800000000000001</v>
      </c>
      <c r="G76" s="633">
        <v>5.7809999999999997</v>
      </c>
      <c r="H76" s="633">
        <v>0.1406</v>
      </c>
      <c r="I76" s="633">
        <v>5.67</v>
      </c>
      <c r="J76" s="633">
        <v>0.1019</v>
      </c>
      <c r="K76" s="633">
        <v>1.4379999999999999</v>
      </c>
      <c r="L76" s="635">
        <v>0.13400000000000001</v>
      </c>
    </row>
    <row r="77" spans="2:12" ht="13" thickBot="1" x14ac:dyDescent="0.3">
      <c r="B77" s="950"/>
      <c r="C77" s="628">
        <v>3.57</v>
      </c>
      <c r="D77" s="628">
        <v>3.42</v>
      </c>
      <c r="E77" s="759">
        <v>27.2</v>
      </c>
      <c r="F77" s="628">
        <v>3.51</v>
      </c>
      <c r="G77" s="759">
        <v>28</v>
      </c>
      <c r="H77" s="628">
        <v>3.57</v>
      </c>
      <c r="I77" s="759">
        <v>27.5</v>
      </c>
      <c r="J77" s="628">
        <v>2.59</v>
      </c>
      <c r="K77" s="759">
        <v>6.97</v>
      </c>
      <c r="L77" s="629">
        <v>3.4</v>
      </c>
    </row>
    <row r="78" spans="2:12" x14ac:dyDescent="0.25">
      <c r="B78" s="955">
        <v>9</v>
      </c>
      <c r="C78" s="633">
        <v>0.15629999999999999</v>
      </c>
      <c r="D78" s="633">
        <v>0.14949999999999999</v>
      </c>
      <c r="E78" s="633">
        <v>6.25</v>
      </c>
      <c r="F78" s="633">
        <v>0.153</v>
      </c>
      <c r="G78" s="633">
        <v>6.4059999999999997</v>
      </c>
      <c r="H78" s="633">
        <v>0.15620000000000001</v>
      </c>
      <c r="I78" s="951"/>
      <c r="J78" s="633">
        <v>0.1144</v>
      </c>
      <c r="K78" s="633">
        <v>1.6140000000000001</v>
      </c>
      <c r="L78" s="635">
        <v>0.14799999999999999</v>
      </c>
    </row>
    <row r="79" spans="2:12" ht="13" thickBot="1" x14ac:dyDescent="0.3">
      <c r="B79" s="950"/>
      <c r="C79" s="628">
        <v>3.97</v>
      </c>
      <c r="D79" s="628">
        <v>3.8</v>
      </c>
      <c r="E79" s="759">
        <v>30.3</v>
      </c>
      <c r="F79" s="628">
        <v>3.89</v>
      </c>
      <c r="G79" s="759">
        <v>31</v>
      </c>
      <c r="H79" s="628">
        <v>3.97</v>
      </c>
      <c r="I79" s="952"/>
      <c r="J79" s="628">
        <v>2.91</v>
      </c>
      <c r="K79" s="759">
        <v>7.82</v>
      </c>
      <c r="L79" s="629">
        <v>3.76</v>
      </c>
    </row>
    <row r="80" spans="2:12" x14ac:dyDescent="0.25">
      <c r="B80" s="955">
        <v>8</v>
      </c>
      <c r="C80" s="633">
        <v>0.1719</v>
      </c>
      <c r="D80" s="633">
        <v>0.16439999999999999</v>
      </c>
      <c r="E80" s="633">
        <v>6.875</v>
      </c>
      <c r="F80" s="633">
        <v>0.16800000000000001</v>
      </c>
      <c r="G80" s="633">
        <v>7.0309999999999997</v>
      </c>
      <c r="H80" s="633">
        <v>0.1719</v>
      </c>
      <c r="I80" s="633">
        <v>6.93</v>
      </c>
      <c r="J80" s="633">
        <v>0.1285</v>
      </c>
      <c r="K80" s="633">
        <v>1.8129999999999999</v>
      </c>
      <c r="L80" s="635">
        <v>0.16500000000000001</v>
      </c>
    </row>
    <row r="81" spans="2:12" ht="13" thickBot="1" x14ac:dyDescent="0.3">
      <c r="B81" s="950"/>
      <c r="C81" s="628">
        <v>4.37</v>
      </c>
      <c r="D81" s="628">
        <v>4.18</v>
      </c>
      <c r="E81" s="759">
        <v>33.299999999999997</v>
      </c>
      <c r="F81" s="628">
        <v>4.2699999999999996</v>
      </c>
      <c r="G81" s="759">
        <v>34.1</v>
      </c>
      <c r="H81" s="628">
        <v>4.37</v>
      </c>
      <c r="I81" s="759">
        <v>33.6</v>
      </c>
      <c r="J81" s="628">
        <v>3.26</v>
      </c>
      <c r="K81" s="759">
        <v>8.7799999999999994</v>
      </c>
      <c r="L81" s="629">
        <v>4.1900000000000004</v>
      </c>
    </row>
    <row r="82" spans="2:12" x14ac:dyDescent="0.25">
      <c r="B82" s="955">
        <v>7</v>
      </c>
      <c r="C82" s="633">
        <v>0.1875</v>
      </c>
      <c r="D82" s="633">
        <v>0.17929999999999999</v>
      </c>
      <c r="E82" s="633">
        <v>7.5</v>
      </c>
      <c r="F82" s="951"/>
      <c r="G82" s="951"/>
      <c r="H82" s="633">
        <v>0.1875</v>
      </c>
      <c r="I82" s="633">
        <v>7.8710000000000004</v>
      </c>
      <c r="J82" s="633">
        <v>0.14430000000000001</v>
      </c>
      <c r="K82" s="633">
        <v>2.036</v>
      </c>
      <c r="L82" s="635">
        <v>0.18</v>
      </c>
    </row>
    <row r="83" spans="2:12" ht="13" thickBot="1" x14ac:dyDescent="0.3">
      <c r="B83" s="950"/>
      <c r="C83" s="628">
        <v>4.76</v>
      </c>
      <c r="D83" s="628">
        <v>4.55</v>
      </c>
      <c r="E83" s="759">
        <v>36.299999999999997</v>
      </c>
      <c r="F83" s="952"/>
      <c r="G83" s="952"/>
      <c r="H83" s="628">
        <v>4.76</v>
      </c>
      <c r="I83" s="759">
        <v>38.1</v>
      </c>
      <c r="J83" s="628">
        <v>3.67</v>
      </c>
      <c r="K83" s="759">
        <v>9.86</v>
      </c>
      <c r="L83" s="629">
        <v>4.57</v>
      </c>
    </row>
    <row r="84" spans="2:12" x14ac:dyDescent="0.25">
      <c r="B84" s="955">
        <v>6</v>
      </c>
      <c r="C84" s="633">
        <v>0.2031</v>
      </c>
      <c r="D84" s="633">
        <v>0.1943</v>
      </c>
      <c r="E84" s="633">
        <v>8.125</v>
      </c>
      <c r="F84" s="951"/>
      <c r="G84" s="951"/>
      <c r="H84" s="633">
        <v>0.2031</v>
      </c>
      <c r="I84" s="951"/>
      <c r="J84" s="633">
        <v>0.16200000000000001</v>
      </c>
      <c r="K84" s="633">
        <v>2.286</v>
      </c>
      <c r="L84" s="635">
        <v>0.20300000000000001</v>
      </c>
    </row>
    <row r="85" spans="2:12" ht="13" thickBot="1" x14ac:dyDescent="0.3">
      <c r="B85" s="950"/>
      <c r="C85" s="628">
        <v>5.16</v>
      </c>
      <c r="D85" s="628">
        <v>4.9400000000000004</v>
      </c>
      <c r="E85" s="759">
        <v>39.4</v>
      </c>
      <c r="F85" s="952"/>
      <c r="G85" s="952"/>
      <c r="H85" s="628">
        <v>5.16</v>
      </c>
      <c r="I85" s="952"/>
      <c r="J85" s="628">
        <v>4.1100000000000003</v>
      </c>
      <c r="K85" s="759">
        <v>11.1</v>
      </c>
      <c r="L85" s="629">
        <v>5.16</v>
      </c>
    </row>
    <row r="86" spans="2:12" x14ac:dyDescent="0.25">
      <c r="B86" s="955">
        <v>5</v>
      </c>
      <c r="C86" s="633">
        <v>0.21879999999999999</v>
      </c>
      <c r="D86" s="633">
        <v>0.2092</v>
      </c>
      <c r="E86" s="633">
        <v>8.75</v>
      </c>
      <c r="F86" s="951"/>
      <c r="G86" s="951"/>
      <c r="H86" s="633">
        <v>0.21870000000000001</v>
      </c>
      <c r="I86" s="951"/>
      <c r="J86" s="633">
        <v>0.18190000000000001</v>
      </c>
      <c r="K86" s="951"/>
      <c r="L86" s="635">
        <v>0.22</v>
      </c>
    </row>
    <row r="87" spans="2:12" ht="13" thickBot="1" x14ac:dyDescent="0.3">
      <c r="B87" s="950"/>
      <c r="C87" s="628">
        <v>5.56</v>
      </c>
      <c r="D87" s="628">
        <v>5.31</v>
      </c>
      <c r="E87" s="759">
        <v>42.4</v>
      </c>
      <c r="F87" s="952"/>
      <c r="G87" s="952"/>
      <c r="H87" s="628">
        <v>5.55</v>
      </c>
      <c r="I87" s="952"/>
      <c r="J87" s="628">
        <v>4.62</v>
      </c>
      <c r="K87" s="952"/>
      <c r="L87" s="629">
        <v>5.59</v>
      </c>
    </row>
    <row r="88" spans="2:12" x14ac:dyDescent="0.25">
      <c r="B88" s="955">
        <v>4</v>
      </c>
      <c r="C88" s="633">
        <v>0.2344</v>
      </c>
      <c r="D88" s="633">
        <v>0.22420000000000001</v>
      </c>
      <c r="E88" s="633">
        <v>9.375</v>
      </c>
      <c r="F88" s="951"/>
      <c r="G88" s="951"/>
      <c r="H88" s="633">
        <v>0.2344</v>
      </c>
      <c r="I88" s="951"/>
      <c r="J88" s="633">
        <v>0.20430000000000001</v>
      </c>
      <c r="K88" s="951"/>
      <c r="L88" s="635">
        <v>0.23799999999999999</v>
      </c>
    </row>
    <row r="89" spans="2:12" ht="13" thickBot="1" x14ac:dyDescent="0.3">
      <c r="B89" s="950"/>
      <c r="C89" s="628">
        <v>5.95</v>
      </c>
      <c r="D89" s="628">
        <v>5.69</v>
      </c>
      <c r="E89" s="759">
        <v>45.4</v>
      </c>
      <c r="F89" s="952"/>
      <c r="G89" s="952"/>
      <c r="H89" s="628">
        <v>5.95</v>
      </c>
      <c r="I89" s="952"/>
      <c r="J89" s="628">
        <v>5.19</v>
      </c>
      <c r="K89" s="952"/>
      <c r="L89" s="629">
        <v>6.05</v>
      </c>
    </row>
    <row r="90" spans="2:12" x14ac:dyDescent="0.25">
      <c r="B90" s="955">
        <v>3</v>
      </c>
      <c r="C90" s="633">
        <v>0.25</v>
      </c>
      <c r="D90" s="633">
        <v>0.23910000000000001</v>
      </c>
      <c r="E90" s="633">
        <v>10</v>
      </c>
      <c r="F90" s="951"/>
      <c r="G90" s="951"/>
      <c r="H90" s="633">
        <v>0.25</v>
      </c>
      <c r="I90" s="951"/>
      <c r="J90" s="633">
        <v>0.22939999999999999</v>
      </c>
      <c r="K90" s="951"/>
      <c r="L90" s="635">
        <v>0.25900000000000001</v>
      </c>
    </row>
    <row r="91" spans="2:12" ht="13" thickBot="1" x14ac:dyDescent="0.3">
      <c r="B91" s="950"/>
      <c r="C91" s="628">
        <v>6.35</v>
      </c>
      <c r="D91" s="628">
        <v>6.07</v>
      </c>
      <c r="E91" s="759">
        <v>48.4</v>
      </c>
      <c r="F91" s="952"/>
      <c r="G91" s="952"/>
      <c r="H91" s="628">
        <v>6.35</v>
      </c>
      <c r="I91" s="952"/>
      <c r="J91" s="628">
        <v>5.83</v>
      </c>
      <c r="K91" s="952"/>
      <c r="L91" s="629">
        <v>6.58</v>
      </c>
    </row>
    <row r="92" spans="2:12" x14ac:dyDescent="0.25">
      <c r="B92" s="955">
        <v>2</v>
      </c>
      <c r="C92" s="633">
        <v>0.2656</v>
      </c>
      <c r="D92" s="951"/>
      <c r="E92" s="951"/>
      <c r="F92" s="951"/>
      <c r="G92" s="951"/>
      <c r="H92" s="633">
        <v>0.2656</v>
      </c>
      <c r="I92" s="951"/>
      <c r="J92" s="633">
        <v>0.2576</v>
      </c>
      <c r="K92" s="951"/>
      <c r="L92" s="635">
        <v>0.28399999999999997</v>
      </c>
    </row>
    <row r="93" spans="2:12" ht="13" thickBot="1" x14ac:dyDescent="0.3">
      <c r="B93" s="950"/>
      <c r="C93" s="628">
        <v>6.75</v>
      </c>
      <c r="D93" s="952"/>
      <c r="E93" s="952"/>
      <c r="F93" s="952"/>
      <c r="G93" s="952"/>
      <c r="H93" s="628">
        <v>6.75</v>
      </c>
      <c r="I93" s="952"/>
      <c r="J93" s="628">
        <v>6.54</v>
      </c>
      <c r="K93" s="952"/>
      <c r="L93" s="629">
        <v>7.21</v>
      </c>
    </row>
    <row r="94" spans="2:12" x14ac:dyDescent="0.25">
      <c r="B94" s="955">
        <v>1</v>
      </c>
      <c r="C94" s="633">
        <v>0.28129999999999999</v>
      </c>
      <c r="D94" s="951"/>
      <c r="E94" s="951"/>
      <c r="F94" s="951"/>
      <c r="G94" s="951"/>
      <c r="H94" s="633">
        <v>0.28120000000000001</v>
      </c>
      <c r="I94" s="951"/>
      <c r="J94" s="633">
        <v>0.2893</v>
      </c>
      <c r="K94" s="951"/>
      <c r="L94" s="635">
        <v>0.3</v>
      </c>
    </row>
    <row r="95" spans="2:12" ht="13" thickBot="1" x14ac:dyDescent="0.3">
      <c r="B95" s="950"/>
      <c r="C95" s="628">
        <v>7.15</v>
      </c>
      <c r="D95" s="952"/>
      <c r="E95" s="952"/>
      <c r="F95" s="952"/>
      <c r="G95" s="952"/>
      <c r="H95" s="628">
        <v>7.14</v>
      </c>
      <c r="I95" s="952"/>
      <c r="J95" s="628">
        <v>7.35</v>
      </c>
      <c r="K95" s="952"/>
      <c r="L95" s="629">
        <v>7.62</v>
      </c>
    </row>
    <row r="96" spans="2:12" x14ac:dyDescent="0.25">
      <c r="B96" s="762">
        <v>36526</v>
      </c>
      <c r="C96" s="633">
        <v>0.3125</v>
      </c>
      <c r="D96" s="951"/>
      <c r="E96" s="951"/>
      <c r="F96" s="951"/>
      <c r="G96" s="951"/>
      <c r="H96" s="633">
        <v>0.3125</v>
      </c>
      <c r="I96" s="951"/>
      <c r="J96" s="633">
        <v>0.32490000000000002</v>
      </c>
      <c r="K96" s="951"/>
      <c r="L96" s="635">
        <v>0.34</v>
      </c>
    </row>
    <row r="97" spans="2:12" ht="13" thickBot="1" x14ac:dyDescent="0.3">
      <c r="B97" s="638">
        <v>0</v>
      </c>
      <c r="C97" s="628">
        <v>7.94</v>
      </c>
      <c r="D97" s="952"/>
      <c r="E97" s="952"/>
      <c r="F97" s="952"/>
      <c r="G97" s="952"/>
      <c r="H97" s="628">
        <v>7.94</v>
      </c>
      <c r="I97" s="952"/>
      <c r="J97" s="628">
        <v>8.25</v>
      </c>
      <c r="K97" s="952"/>
      <c r="L97" s="629">
        <v>8.64</v>
      </c>
    </row>
    <row r="98" spans="2:12" x14ac:dyDescent="0.25">
      <c r="B98" s="762">
        <v>36557</v>
      </c>
      <c r="C98" s="633">
        <v>0.34379999999999999</v>
      </c>
      <c r="D98" s="951"/>
      <c r="E98" s="951"/>
      <c r="F98" s="951"/>
      <c r="G98" s="951"/>
      <c r="H98" s="633">
        <v>0.34370000000000001</v>
      </c>
      <c r="I98" s="951"/>
      <c r="J98" s="633">
        <v>0.36480000000000001</v>
      </c>
      <c r="K98" s="951"/>
      <c r="L98" s="635">
        <v>0.38</v>
      </c>
    </row>
    <row r="99" spans="2:12" ht="13" thickBot="1" x14ac:dyDescent="0.3">
      <c r="B99" s="638">
        <v>0</v>
      </c>
      <c r="C99" s="628">
        <v>8.73</v>
      </c>
      <c r="D99" s="952"/>
      <c r="E99" s="952"/>
      <c r="F99" s="952"/>
      <c r="G99" s="952"/>
      <c r="H99" s="628">
        <v>8.73</v>
      </c>
      <c r="I99" s="952"/>
      <c r="J99" s="628">
        <v>9.27</v>
      </c>
      <c r="K99" s="952"/>
      <c r="L99" s="629">
        <v>9.65</v>
      </c>
    </row>
    <row r="100" spans="2:12" x14ac:dyDescent="0.25">
      <c r="B100" s="762">
        <v>36586</v>
      </c>
      <c r="C100" s="633">
        <v>0.375</v>
      </c>
      <c r="D100" s="951"/>
      <c r="E100" s="951"/>
      <c r="F100" s="951"/>
      <c r="G100" s="951"/>
      <c r="H100" s="633">
        <v>0.375</v>
      </c>
      <c r="I100" s="951"/>
      <c r="J100" s="633">
        <v>0.40960000000000002</v>
      </c>
      <c r="K100" s="951"/>
      <c r="L100" s="635">
        <v>0.42499999999999999</v>
      </c>
    </row>
    <row r="101" spans="2:12" ht="13" thickBot="1" x14ac:dyDescent="0.3">
      <c r="B101" s="638">
        <v>0</v>
      </c>
      <c r="C101" s="628">
        <v>9.52</v>
      </c>
      <c r="D101" s="952"/>
      <c r="E101" s="952"/>
      <c r="F101" s="952"/>
      <c r="G101" s="952"/>
      <c r="H101" s="628">
        <v>9.52</v>
      </c>
      <c r="I101" s="952"/>
      <c r="J101" s="628">
        <v>10.4</v>
      </c>
      <c r="K101" s="952"/>
      <c r="L101" s="629">
        <v>10.8</v>
      </c>
    </row>
    <row r="102" spans="2:12" x14ac:dyDescent="0.25">
      <c r="B102" s="762">
        <v>36617</v>
      </c>
      <c r="C102" s="633">
        <v>0.40629999999999999</v>
      </c>
      <c r="D102" s="951"/>
      <c r="E102" s="951"/>
      <c r="F102" s="951"/>
      <c r="G102" s="951"/>
      <c r="H102" s="633">
        <v>0.40620000000000001</v>
      </c>
      <c r="I102" s="951"/>
      <c r="J102" s="633">
        <v>0.46</v>
      </c>
      <c r="K102" s="951"/>
      <c r="L102" s="635">
        <v>0.45400000000000001</v>
      </c>
    </row>
    <row r="103" spans="2:12" ht="13" thickBot="1" x14ac:dyDescent="0.3">
      <c r="B103" s="638">
        <v>0</v>
      </c>
      <c r="C103" s="628">
        <v>10.3</v>
      </c>
      <c r="D103" s="952"/>
      <c r="E103" s="952"/>
      <c r="F103" s="952"/>
      <c r="G103" s="952"/>
      <c r="H103" s="628">
        <v>10.3</v>
      </c>
      <c r="I103" s="952"/>
      <c r="J103" s="628">
        <v>11.7</v>
      </c>
      <c r="K103" s="952"/>
      <c r="L103" s="629">
        <v>11.5</v>
      </c>
    </row>
    <row r="104" spans="2:12" x14ac:dyDescent="0.25">
      <c r="B104" s="763">
        <v>36647</v>
      </c>
      <c r="C104" s="760">
        <v>0.4375</v>
      </c>
      <c r="D104" s="959"/>
      <c r="E104" s="959"/>
      <c r="F104" s="959"/>
      <c r="G104" s="959"/>
      <c r="H104" s="760">
        <v>0.4375</v>
      </c>
      <c r="I104" s="959"/>
      <c r="J104" s="760">
        <v>0.51649999999999996</v>
      </c>
      <c r="K104" s="959"/>
      <c r="L104" s="764">
        <v>0.5</v>
      </c>
    </row>
    <row r="105" spans="2:12" ht="13" thickBot="1" x14ac:dyDescent="0.3">
      <c r="B105" s="765">
        <v>0</v>
      </c>
      <c r="C105" s="761">
        <v>11.1</v>
      </c>
      <c r="D105" s="960"/>
      <c r="E105" s="960"/>
      <c r="F105" s="960"/>
      <c r="G105" s="960"/>
      <c r="H105" s="761">
        <v>11.1</v>
      </c>
      <c r="I105" s="960"/>
      <c r="J105" s="761">
        <v>13.1</v>
      </c>
      <c r="K105" s="960"/>
      <c r="L105" s="766">
        <v>12.7</v>
      </c>
    </row>
    <row r="106" spans="2:12" x14ac:dyDescent="0.25">
      <c r="B106" s="762">
        <v>36678</v>
      </c>
      <c r="C106" s="633">
        <v>0.46879999999999999</v>
      </c>
      <c r="D106" s="951"/>
      <c r="E106" s="951"/>
      <c r="F106" s="951"/>
      <c r="G106" s="951"/>
      <c r="H106" s="633">
        <v>0.46870000000000001</v>
      </c>
      <c r="I106" s="951"/>
      <c r="J106" s="633">
        <v>0.57999999999999996</v>
      </c>
      <c r="K106" s="951"/>
      <c r="L106" s="953"/>
    </row>
    <row r="107" spans="2:12" ht="13" thickBot="1" x14ac:dyDescent="0.3">
      <c r="B107" s="638">
        <v>0</v>
      </c>
      <c r="C107" s="628">
        <v>11.9</v>
      </c>
      <c r="D107" s="952"/>
      <c r="E107" s="952"/>
      <c r="F107" s="952"/>
      <c r="G107" s="952"/>
      <c r="H107" s="628">
        <v>11.9</v>
      </c>
      <c r="I107" s="952"/>
      <c r="J107" s="628">
        <v>14.7</v>
      </c>
      <c r="K107" s="952"/>
      <c r="L107" s="954"/>
    </row>
    <row r="108" spans="2:12" x14ac:dyDescent="0.25">
      <c r="B108" s="762">
        <v>36708</v>
      </c>
      <c r="C108" s="633">
        <v>0.5</v>
      </c>
      <c r="D108" s="951"/>
      <c r="E108" s="951"/>
      <c r="F108" s="951"/>
      <c r="G108" s="951"/>
      <c r="H108" s="951"/>
      <c r="I108" s="951"/>
      <c r="J108" s="951"/>
      <c r="K108" s="951"/>
      <c r="L108" s="953"/>
    </row>
    <row r="109" spans="2:12" ht="13" thickBot="1" x14ac:dyDescent="0.3">
      <c r="B109" s="639">
        <v>0</v>
      </c>
      <c r="C109" s="630">
        <v>12.7</v>
      </c>
      <c r="D109" s="957"/>
      <c r="E109" s="957"/>
      <c r="F109" s="957"/>
      <c r="G109" s="957"/>
      <c r="H109" s="957"/>
      <c r="I109" s="957"/>
      <c r="J109" s="957"/>
      <c r="K109" s="957"/>
      <c r="L109" s="958"/>
    </row>
    <row r="110" spans="2:12" x14ac:dyDescent="0.25">
      <c r="B110" s="194"/>
    </row>
    <row r="111" spans="2:12" ht="21" x14ac:dyDescent="0.25">
      <c r="B111" s="767" t="s">
        <v>1533</v>
      </c>
    </row>
    <row r="112" spans="2:12" ht="18" x14ac:dyDescent="0.25">
      <c r="B112" s="767" t="s">
        <v>816</v>
      </c>
    </row>
  </sheetData>
  <mergeCells count="234">
    <mergeCell ref="B2:L2"/>
    <mergeCell ref="L106:L107"/>
    <mergeCell ref="D108:D109"/>
    <mergeCell ref="E108:E109"/>
    <mergeCell ref="F108:F109"/>
    <mergeCell ref="G108:G109"/>
    <mergeCell ref="H108:H109"/>
    <mergeCell ref="I108:I109"/>
    <mergeCell ref="J108:J109"/>
    <mergeCell ref="K108:K109"/>
    <mergeCell ref="L108:L109"/>
    <mergeCell ref="K104:K105"/>
    <mergeCell ref="D106:D107"/>
    <mergeCell ref="E106:E107"/>
    <mergeCell ref="F106:F107"/>
    <mergeCell ref="G106:G107"/>
    <mergeCell ref="I106:I107"/>
    <mergeCell ref="K106:K107"/>
    <mergeCell ref="D104:D105"/>
    <mergeCell ref="E104:E105"/>
    <mergeCell ref="F104:F105"/>
    <mergeCell ref="G104:G105"/>
    <mergeCell ref="I104:I105"/>
    <mergeCell ref="K100:K101"/>
    <mergeCell ref="D102:D103"/>
    <mergeCell ref="E102:E103"/>
    <mergeCell ref="F102:F103"/>
    <mergeCell ref="G102:G103"/>
    <mergeCell ref="I102:I103"/>
    <mergeCell ref="K102:K103"/>
    <mergeCell ref="D100:D101"/>
    <mergeCell ref="E100:E101"/>
    <mergeCell ref="F100:F101"/>
    <mergeCell ref="G100:G101"/>
    <mergeCell ref="I100:I101"/>
    <mergeCell ref="K96:K97"/>
    <mergeCell ref="D98:D99"/>
    <mergeCell ref="E98:E99"/>
    <mergeCell ref="F98:F99"/>
    <mergeCell ref="G98:G99"/>
    <mergeCell ref="I98:I99"/>
    <mergeCell ref="K98:K99"/>
    <mergeCell ref="D96:D97"/>
    <mergeCell ref="E96:E97"/>
    <mergeCell ref="F96:F97"/>
    <mergeCell ref="G96:G97"/>
    <mergeCell ref="I96:I97"/>
    <mergeCell ref="I92:I93"/>
    <mergeCell ref="K92:K93"/>
    <mergeCell ref="B94:B95"/>
    <mergeCell ref="D94:D95"/>
    <mergeCell ref="E94:E95"/>
    <mergeCell ref="F94:F95"/>
    <mergeCell ref="G94:G95"/>
    <mergeCell ref="I94:I95"/>
    <mergeCell ref="K94:K95"/>
    <mergeCell ref="B92:B93"/>
    <mergeCell ref="D92:D93"/>
    <mergeCell ref="E92:E93"/>
    <mergeCell ref="F92:F93"/>
    <mergeCell ref="G92:G93"/>
    <mergeCell ref="B90:B91"/>
    <mergeCell ref="F90:F91"/>
    <mergeCell ref="G90:G91"/>
    <mergeCell ref="I90:I91"/>
    <mergeCell ref="K90:K91"/>
    <mergeCell ref="K86:K87"/>
    <mergeCell ref="B88:B89"/>
    <mergeCell ref="F88:F89"/>
    <mergeCell ref="G88:G89"/>
    <mergeCell ref="I88:I89"/>
    <mergeCell ref="K88:K89"/>
    <mergeCell ref="I84:I85"/>
    <mergeCell ref="B86:B87"/>
    <mergeCell ref="F86:F87"/>
    <mergeCell ref="G86:G87"/>
    <mergeCell ref="I86:I87"/>
    <mergeCell ref="B80:B81"/>
    <mergeCell ref="B82:B83"/>
    <mergeCell ref="F82:F83"/>
    <mergeCell ref="G82:G83"/>
    <mergeCell ref="B84:B85"/>
    <mergeCell ref="F84:F85"/>
    <mergeCell ref="G84:G85"/>
    <mergeCell ref="B72:B73"/>
    <mergeCell ref="B74:B75"/>
    <mergeCell ref="B76:B77"/>
    <mergeCell ref="B78:B79"/>
    <mergeCell ref="I78:I79"/>
    <mergeCell ref="B64:B65"/>
    <mergeCell ref="B66:B67"/>
    <mergeCell ref="I66:I67"/>
    <mergeCell ref="B68:B69"/>
    <mergeCell ref="B70:B71"/>
    <mergeCell ref="I70:I71"/>
    <mergeCell ref="B56:B57"/>
    <mergeCell ref="B58:B59"/>
    <mergeCell ref="I58:I59"/>
    <mergeCell ref="B60:B61"/>
    <mergeCell ref="B62:B63"/>
    <mergeCell ref="I62:I63"/>
    <mergeCell ref="B48:B49"/>
    <mergeCell ref="B50:B51"/>
    <mergeCell ref="I50:I51"/>
    <mergeCell ref="B52:B53"/>
    <mergeCell ref="B54:B55"/>
    <mergeCell ref="I54:I55"/>
    <mergeCell ref="B42:B43"/>
    <mergeCell ref="I42:I43"/>
    <mergeCell ref="B44:B45"/>
    <mergeCell ref="B46:B47"/>
    <mergeCell ref="I46:I47"/>
    <mergeCell ref="B36:B37"/>
    <mergeCell ref="I36:I37"/>
    <mergeCell ref="B38:B39"/>
    <mergeCell ref="I38:I39"/>
    <mergeCell ref="B40:B41"/>
    <mergeCell ref="I40:I41"/>
    <mergeCell ref="K32:K33"/>
    <mergeCell ref="B34:B35"/>
    <mergeCell ref="E34:E35"/>
    <mergeCell ref="F34:F35"/>
    <mergeCell ref="G34:G35"/>
    <mergeCell ref="I34:I35"/>
    <mergeCell ref="K34:K35"/>
    <mergeCell ref="B32:B33"/>
    <mergeCell ref="E32:E33"/>
    <mergeCell ref="F32:F33"/>
    <mergeCell ref="G32:G33"/>
    <mergeCell ref="I32:I33"/>
    <mergeCell ref="K28:K29"/>
    <mergeCell ref="B30:B31"/>
    <mergeCell ref="E30:E31"/>
    <mergeCell ref="F30:F31"/>
    <mergeCell ref="G30:G31"/>
    <mergeCell ref="I30:I31"/>
    <mergeCell ref="K30:K31"/>
    <mergeCell ref="B28:B29"/>
    <mergeCell ref="E28:E29"/>
    <mergeCell ref="F28:F29"/>
    <mergeCell ref="G28:G29"/>
    <mergeCell ref="I28:I29"/>
    <mergeCell ref="K24:K25"/>
    <mergeCell ref="B26:B27"/>
    <mergeCell ref="E26:E27"/>
    <mergeCell ref="F26:F27"/>
    <mergeCell ref="G26:G27"/>
    <mergeCell ref="I26:I27"/>
    <mergeCell ref="K26:K27"/>
    <mergeCell ref="B24:B25"/>
    <mergeCell ref="E24:E25"/>
    <mergeCell ref="F24:F25"/>
    <mergeCell ref="G24:G25"/>
    <mergeCell ref="I24:I25"/>
    <mergeCell ref="K20:K21"/>
    <mergeCell ref="L20:L21"/>
    <mergeCell ref="B22:B23"/>
    <mergeCell ref="E22:E23"/>
    <mergeCell ref="F22:F23"/>
    <mergeCell ref="G22:G23"/>
    <mergeCell ref="I22:I23"/>
    <mergeCell ref="K22:K23"/>
    <mergeCell ref="L22:L23"/>
    <mergeCell ref="B20:B21"/>
    <mergeCell ref="E20:E21"/>
    <mergeCell ref="F20:F21"/>
    <mergeCell ref="G20:G21"/>
    <mergeCell ref="I20:I21"/>
    <mergeCell ref="H18:H19"/>
    <mergeCell ref="I18:I19"/>
    <mergeCell ref="J18:J19"/>
    <mergeCell ref="K18:K19"/>
    <mergeCell ref="L18:L19"/>
    <mergeCell ref="B18:B19"/>
    <mergeCell ref="D18:D19"/>
    <mergeCell ref="E18:E19"/>
    <mergeCell ref="F18:F19"/>
    <mergeCell ref="G18:G19"/>
    <mergeCell ref="H16:H17"/>
    <mergeCell ref="I16:I17"/>
    <mergeCell ref="J16:J17"/>
    <mergeCell ref="K16:K17"/>
    <mergeCell ref="L16:L17"/>
    <mergeCell ref="B16:B17"/>
    <mergeCell ref="D16:D17"/>
    <mergeCell ref="E16:E17"/>
    <mergeCell ref="F16:F17"/>
    <mergeCell ref="G16:G17"/>
    <mergeCell ref="H14:H15"/>
    <mergeCell ref="I14:I15"/>
    <mergeCell ref="J14:J15"/>
    <mergeCell ref="K14:K15"/>
    <mergeCell ref="L14:L15"/>
    <mergeCell ref="B14:B15"/>
    <mergeCell ref="D14:D15"/>
    <mergeCell ref="E14:E15"/>
    <mergeCell ref="F14:F15"/>
    <mergeCell ref="G14:G15"/>
    <mergeCell ref="H12:H13"/>
    <mergeCell ref="I12:I13"/>
    <mergeCell ref="J12:J13"/>
    <mergeCell ref="K12:K13"/>
    <mergeCell ref="L12:L13"/>
    <mergeCell ref="B12:B13"/>
    <mergeCell ref="D12:D13"/>
    <mergeCell ref="E12:E13"/>
    <mergeCell ref="F12:F13"/>
    <mergeCell ref="G12:G13"/>
    <mergeCell ref="L8:L9"/>
    <mergeCell ref="B10:B11"/>
    <mergeCell ref="D10:D11"/>
    <mergeCell ref="E10:E11"/>
    <mergeCell ref="F10:F11"/>
    <mergeCell ref="G10:G11"/>
    <mergeCell ref="H10:H11"/>
    <mergeCell ref="I10:I11"/>
    <mergeCell ref="J10:J11"/>
    <mergeCell ref="K10:K11"/>
    <mergeCell ref="L10:L11"/>
    <mergeCell ref="G8:G9"/>
    <mergeCell ref="H8:H9"/>
    <mergeCell ref="I8:I9"/>
    <mergeCell ref="J8:J9"/>
    <mergeCell ref="K8:K9"/>
    <mergeCell ref="B4:B7"/>
    <mergeCell ref="D4:E4"/>
    <mergeCell ref="F4:G4"/>
    <mergeCell ref="H4:I4"/>
    <mergeCell ref="J4:K4"/>
    <mergeCell ref="C5:C7"/>
    <mergeCell ref="B8:B9"/>
    <mergeCell ref="D8:D9"/>
    <mergeCell ref="E8:E9"/>
    <mergeCell ref="F8:F9"/>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8"/>
  <sheetViews>
    <sheetView topLeftCell="A37" zoomScale="130" zoomScaleNormal="130" workbookViewId="0">
      <selection activeCell="B58" sqref="B58"/>
    </sheetView>
  </sheetViews>
  <sheetFormatPr defaultRowHeight="12.5" x14ac:dyDescent="0.25"/>
  <cols>
    <col min="1" max="1" width="21.08984375" customWidth="1"/>
    <col min="2" max="2" width="20" customWidth="1"/>
    <col min="3" max="3" width="19.453125" customWidth="1"/>
    <col min="4" max="4" width="17.6328125" customWidth="1"/>
    <col min="5" max="5" width="23.36328125" bestFit="1" customWidth="1"/>
    <col min="6" max="6" width="19.90625" bestFit="1" customWidth="1"/>
    <col min="7" max="7" width="18.90625" bestFit="1" customWidth="1"/>
    <col min="8" max="8" width="9.453125" bestFit="1" customWidth="1"/>
    <col min="9" max="9" width="11.1796875" customWidth="1"/>
    <col min="10" max="10" width="21" customWidth="1"/>
    <col min="11" max="11" width="13.453125" bestFit="1" customWidth="1"/>
    <col min="12" max="12" width="8" bestFit="1" customWidth="1"/>
    <col min="13" max="13" width="10" bestFit="1" customWidth="1"/>
    <col min="14" max="14" width="9.08984375" customWidth="1"/>
    <col min="15" max="15" width="12" bestFit="1" customWidth="1"/>
    <col min="16" max="16" width="8" bestFit="1" customWidth="1"/>
  </cols>
  <sheetData>
    <row r="1" spans="1:10" ht="26.25" customHeight="1" x14ac:dyDescent="0.25">
      <c r="A1" s="962" t="s">
        <v>31</v>
      </c>
      <c r="B1" s="962"/>
      <c r="C1" s="962"/>
      <c r="D1" s="962"/>
      <c r="E1" s="962"/>
      <c r="F1" s="962"/>
      <c r="G1" s="962"/>
      <c r="H1" s="962"/>
    </row>
    <row r="4" spans="1:10" ht="13" thickBot="1" x14ac:dyDescent="0.3">
      <c r="I4" s="11"/>
      <c r="J4" s="550"/>
    </row>
    <row r="5" spans="1:10" ht="17" thickTop="1" x14ac:dyDescent="0.6">
      <c r="A5" s="963" t="s">
        <v>91</v>
      </c>
      <c r="B5" s="964"/>
      <c r="C5" s="964"/>
      <c r="D5" s="965"/>
      <c r="F5" s="977" t="s">
        <v>752</v>
      </c>
      <c r="G5" s="978"/>
    </row>
    <row r="6" spans="1:10" x14ac:dyDescent="0.25">
      <c r="A6" s="26" t="s">
        <v>6</v>
      </c>
      <c r="B6" s="972">
        <v>84.8</v>
      </c>
      <c r="C6" s="972"/>
      <c r="D6" s="6"/>
      <c r="F6" s="979"/>
      <c r="G6" s="980"/>
    </row>
    <row r="7" spans="1:10" x14ac:dyDescent="0.25">
      <c r="A7" s="26" t="s">
        <v>7</v>
      </c>
      <c r="B7" s="50">
        <f>((C24/B6)/4)*12</f>
        <v>39.922096805660388</v>
      </c>
      <c r="C7" s="51">
        <f>((C23/B6)/4)*100</f>
        <v>101.40212264150945</v>
      </c>
      <c r="D7" s="6"/>
      <c r="F7" s="979"/>
      <c r="G7" s="980"/>
    </row>
    <row r="8" spans="1:10" x14ac:dyDescent="0.25">
      <c r="A8" s="26" t="s">
        <v>6</v>
      </c>
      <c r="B8" s="52">
        <f>C24/((B10*4)/12)</f>
        <v>1692.6969045600003</v>
      </c>
      <c r="C8" s="52">
        <f>C23/((C10*4)/100)</f>
        <v>429.94499999999999</v>
      </c>
      <c r="D8" s="6"/>
      <c r="F8" s="979"/>
      <c r="G8" s="980"/>
    </row>
    <row r="9" spans="1:10" x14ac:dyDescent="0.25">
      <c r="A9" s="26" t="s">
        <v>1531</v>
      </c>
      <c r="B9" s="50">
        <f>B10/(2*3.14159265358979)</f>
        <v>0.31830988618379102</v>
      </c>
      <c r="C9" s="51">
        <f>C10/(2*3.14159265358979)</f>
        <v>3.1830988618379101</v>
      </c>
      <c r="D9" s="6"/>
      <c r="F9" s="979"/>
      <c r="G9" s="980"/>
      <c r="I9" s="11"/>
      <c r="J9" s="550"/>
    </row>
    <row r="10" spans="1:10" ht="13" thickBot="1" x14ac:dyDescent="0.3">
      <c r="A10" s="22" t="s">
        <v>7</v>
      </c>
      <c r="B10" s="23">
        <v>2</v>
      </c>
      <c r="C10" s="53">
        <v>20</v>
      </c>
      <c r="D10" s="8"/>
      <c r="F10" s="981"/>
      <c r="G10" s="982"/>
    </row>
    <row r="11" spans="1:10" x14ac:dyDescent="0.25">
      <c r="I11" s="11"/>
      <c r="J11" s="550"/>
    </row>
    <row r="12" spans="1:10" ht="13" thickBot="1" x14ac:dyDescent="0.3"/>
    <row r="13" spans="1:10" ht="34" x14ac:dyDescent="1.25">
      <c r="A13" s="966" t="s">
        <v>5</v>
      </c>
      <c r="B13" s="967"/>
      <c r="C13" s="54" t="s">
        <v>1152</v>
      </c>
      <c r="D13" s="54" t="s">
        <v>1153</v>
      </c>
      <c r="E13" s="54" t="s">
        <v>1608</v>
      </c>
      <c r="F13" s="54" t="s">
        <v>1609</v>
      </c>
      <c r="G13" s="757"/>
      <c r="H13" s="757"/>
    </row>
    <row r="14" spans="1:10" x14ac:dyDescent="0.25">
      <c r="A14" s="55">
        <v>80</v>
      </c>
      <c r="B14" s="49"/>
    </row>
    <row r="15" spans="1:10" x14ac:dyDescent="0.25">
      <c r="A15" s="56">
        <f>1127.2965879265/A14</f>
        <v>14.09120734908125</v>
      </c>
      <c r="B15" s="57">
        <f>A15*12</f>
        <v>169.09448818897499</v>
      </c>
      <c r="C15" s="614">
        <f>A15/2</f>
        <v>7.045603674540625</v>
      </c>
      <c r="D15" s="614">
        <f>A15/4</f>
        <v>3.5228018372703125</v>
      </c>
      <c r="E15" s="858">
        <f>($A15/8)*12</f>
        <v>21.136811023621874</v>
      </c>
      <c r="F15" s="858">
        <f>($A15/16)*12</f>
        <v>10.568405511810937</v>
      </c>
    </row>
    <row r="16" spans="1:10" x14ac:dyDescent="0.25">
      <c r="A16" s="58">
        <f>343.35999/A14</f>
        <v>4.2919998750000001</v>
      </c>
      <c r="B16" s="59">
        <f>(C23*1000)/A14</f>
        <v>4299.45</v>
      </c>
      <c r="C16" s="615">
        <f>A16/2</f>
        <v>2.1459999375000001</v>
      </c>
      <c r="D16" s="615">
        <f>A16/4</f>
        <v>1.07299996875</v>
      </c>
      <c r="E16" s="859">
        <f>($A16/8)*1000</f>
        <v>536.49998437500005</v>
      </c>
      <c r="F16" s="859">
        <f>($A16/16)*1000</f>
        <v>268.24999218750003</v>
      </c>
    </row>
    <row r="17" spans="1:15" ht="13" x14ac:dyDescent="0.3">
      <c r="A17" s="16" t="s">
        <v>25</v>
      </c>
      <c r="B17" s="60"/>
    </row>
    <row r="18" spans="1:15" ht="13" x14ac:dyDescent="0.3">
      <c r="A18" s="75">
        <v>4</v>
      </c>
      <c r="B18" s="76">
        <f>C24/(A18/12)</f>
        <v>3385.3938091200007</v>
      </c>
    </row>
    <row r="19" spans="1:15" ht="13.5" thickBot="1" x14ac:dyDescent="0.35">
      <c r="A19" s="77">
        <v>303</v>
      </c>
      <c r="B19" s="61">
        <f>(C23*100)/A19</f>
        <v>113.51683168316831</v>
      </c>
    </row>
    <row r="21" spans="1:15" ht="13" thickBot="1" x14ac:dyDescent="0.3">
      <c r="O21" s="1"/>
    </row>
    <row r="22" spans="1:15" ht="34" x14ac:dyDescent="1.25">
      <c r="A22" s="966" t="s">
        <v>443</v>
      </c>
      <c r="B22" s="968"/>
      <c r="C22" s="62" t="s">
        <v>1028</v>
      </c>
      <c r="E22" s="966" t="s">
        <v>443</v>
      </c>
      <c r="F22" s="968"/>
      <c r="G22" s="62" t="s">
        <v>1029</v>
      </c>
      <c r="I22" s="552" t="s">
        <v>25</v>
      </c>
      <c r="J22" s="11" t="s">
        <v>1030</v>
      </c>
      <c r="K22" s="11" t="s">
        <v>1033</v>
      </c>
      <c r="N22" s="1"/>
    </row>
    <row r="23" spans="1:15" ht="13" x14ac:dyDescent="0.3">
      <c r="A23" s="17" t="s">
        <v>444</v>
      </c>
      <c r="B23" s="24">
        <v>21</v>
      </c>
      <c r="C23" s="547">
        <f>331.23 + (0.606*B23)</f>
        <v>343.95600000000002</v>
      </c>
      <c r="E23" s="17" t="s">
        <v>444</v>
      </c>
      <c r="F23" s="24">
        <v>20</v>
      </c>
      <c r="G23" s="547">
        <f>279.94 + (0.606*F23)</f>
        <v>292.06</v>
      </c>
      <c r="I23" s="11" t="s">
        <v>1031</v>
      </c>
      <c r="J23" s="554">
        <v>4.4635999999999996</v>
      </c>
      <c r="K23" s="553">
        <f>J23/$C$23</f>
        <v>1.2977241275046807E-2</v>
      </c>
      <c r="N23" s="1"/>
    </row>
    <row r="24" spans="1:15" ht="13.5" thickBot="1" x14ac:dyDescent="0.35">
      <c r="A24" s="25" t="s">
        <v>1610</v>
      </c>
      <c r="B24" s="549">
        <f>(9/5)*(B23)+32</f>
        <v>69.800000000000011</v>
      </c>
      <c r="C24" s="548">
        <f>C23*3.28084</f>
        <v>1128.4646030400002</v>
      </c>
      <c r="E24" s="25" t="s">
        <v>445</v>
      </c>
      <c r="F24" s="549">
        <f>(9/5)*(F23)+32</f>
        <v>68</v>
      </c>
      <c r="G24" s="548">
        <f>G23*3.28084</f>
        <v>958.20213039999999</v>
      </c>
      <c r="I24" s="11" t="s">
        <v>1032</v>
      </c>
      <c r="J24" s="554">
        <v>0.40639999999999998</v>
      </c>
      <c r="K24" s="553">
        <f>J24/$G$23</f>
        <v>1.3914948983085667E-3</v>
      </c>
      <c r="N24" s="1"/>
    </row>
    <row r="25" spans="1:15" x14ac:dyDescent="0.25">
      <c r="I25" s="11" t="s">
        <v>1034</v>
      </c>
      <c r="K25" s="553">
        <f>K23+K24</f>
        <v>1.4368736173355373E-2</v>
      </c>
    </row>
    <row r="26" spans="1:15" ht="13" thickBot="1" x14ac:dyDescent="0.3">
      <c r="B26" s="4"/>
      <c r="C26" s="1"/>
      <c r="E26" s="4"/>
      <c r="F26" s="1"/>
      <c r="K26" s="551">
        <f>(1/K25)/2</f>
        <v>34.797771631938907</v>
      </c>
    </row>
    <row r="27" spans="1:15" ht="34" x14ac:dyDescent="1.25">
      <c r="A27" s="969" t="s">
        <v>48</v>
      </c>
      <c r="B27" s="970"/>
      <c r="C27" s="970"/>
      <c r="D27" s="971"/>
      <c r="I27" s="552" t="s">
        <v>1035</v>
      </c>
    </row>
    <row r="28" spans="1:15" ht="12.75" customHeight="1" x14ac:dyDescent="0.25">
      <c r="A28" s="973" t="s">
        <v>427</v>
      </c>
      <c r="B28" s="63" t="s">
        <v>0</v>
      </c>
      <c r="C28" s="974" t="s">
        <v>427</v>
      </c>
      <c r="D28" s="67" t="s">
        <v>0</v>
      </c>
      <c r="I28" s="11" t="s">
        <v>1031</v>
      </c>
      <c r="J28" s="554">
        <v>3.3835999999999999</v>
      </c>
      <c r="K28" s="553">
        <f>J28/$C$23</f>
        <v>9.8373047715405448E-3</v>
      </c>
    </row>
    <row r="29" spans="1:15" x14ac:dyDescent="0.25">
      <c r="A29" s="973"/>
      <c r="B29" s="64">
        <v>133.80000000000001</v>
      </c>
      <c r="C29" s="974"/>
      <c r="D29" s="68">
        <v>24</v>
      </c>
      <c r="I29" s="11" t="s">
        <v>1032</v>
      </c>
      <c r="J29" s="554">
        <v>0.40639999999999998</v>
      </c>
      <c r="K29" s="553">
        <f>J29/$G$23</f>
        <v>1.3914948983085667E-3</v>
      </c>
    </row>
    <row r="30" spans="1:15" x14ac:dyDescent="0.25">
      <c r="A30" s="20" t="s">
        <v>428</v>
      </c>
      <c r="B30" s="190">
        <f>(B29/C23)*10</f>
        <v>3.8900324460105362</v>
      </c>
      <c r="C30" s="46" t="s">
        <v>428</v>
      </c>
      <c r="D30" s="187">
        <f>(((D29)/12)/C24)*1000</f>
        <v>1.7723196585981942</v>
      </c>
      <c r="E30" s="551"/>
      <c r="I30" s="11" t="s">
        <v>1034</v>
      </c>
      <c r="K30" s="553">
        <f>K28+K29</f>
        <v>1.1228799669849111E-2</v>
      </c>
    </row>
    <row r="31" spans="1:15" ht="12.75" customHeight="1" x14ac:dyDescent="0.25">
      <c r="A31" s="69"/>
      <c r="B31" s="66"/>
      <c r="C31" s="65"/>
      <c r="D31" s="60"/>
      <c r="K31" s="551">
        <f>(1/K30)/2</f>
        <v>44.528356966111836</v>
      </c>
    </row>
    <row r="32" spans="1:15" ht="13" x14ac:dyDescent="0.3">
      <c r="A32" s="20" t="s">
        <v>428</v>
      </c>
      <c r="B32" s="191">
        <v>6.8</v>
      </c>
      <c r="C32" s="46" t="s">
        <v>428</v>
      </c>
      <c r="D32" s="192">
        <v>1.77</v>
      </c>
      <c r="I32" s="552" t="s">
        <v>1036</v>
      </c>
    </row>
    <row r="33" spans="1:11" ht="12.75" customHeight="1" x14ac:dyDescent="0.25">
      <c r="A33" s="973" t="s">
        <v>427</v>
      </c>
      <c r="B33" s="28"/>
      <c r="C33" s="974" t="s">
        <v>427</v>
      </c>
      <c r="D33" s="49"/>
      <c r="I33" s="11" t="s">
        <v>1031</v>
      </c>
      <c r="J33" s="554">
        <v>2.7267999999999999</v>
      </c>
      <c r="K33" s="553">
        <f>J33/$C$23</f>
        <v>7.9277582016304398E-3</v>
      </c>
    </row>
    <row r="34" spans="1:11" ht="13" thickBot="1" x14ac:dyDescent="0.3">
      <c r="A34" s="975"/>
      <c r="B34" s="70">
        <f>(B32*(C23*100))/1000</f>
        <v>233.89007999999998</v>
      </c>
      <c r="C34" s="976"/>
      <c r="D34" s="71">
        <f>(D32*C24*12)/1000</f>
        <v>23.9685881685696</v>
      </c>
      <c r="I34" s="11" t="s">
        <v>1032</v>
      </c>
      <c r="J34" s="554">
        <v>0.20319999999999999</v>
      </c>
      <c r="K34" s="553">
        <f>J34/$G$23</f>
        <v>6.9574744915428335E-4</v>
      </c>
    </row>
    <row r="35" spans="1:11" x14ac:dyDescent="0.25">
      <c r="I35" s="11" t="s">
        <v>1034</v>
      </c>
      <c r="K35" s="553">
        <f>K33+K34</f>
        <v>8.623505650784723E-3</v>
      </c>
    </row>
    <row r="36" spans="1:11" x14ac:dyDescent="0.25">
      <c r="K36" s="551">
        <f>(1/K35)/2</f>
        <v>57.981060168320404</v>
      </c>
    </row>
    <row r="37" spans="1:11" ht="13" thickBot="1" x14ac:dyDescent="0.3"/>
    <row r="38" spans="1:11" x14ac:dyDescent="0.25">
      <c r="A38" s="983" t="s">
        <v>789</v>
      </c>
      <c r="B38" s="984"/>
      <c r="C38" s="985"/>
    </row>
    <row r="39" spans="1:11" x14ac:dyDescent="0.25">
      <c r="A39" s="26" t="s">
        <v>666</v>
      </c>
      <c r="B39" s="186">
        <v>147</v>
      </c>
      <c r="C39" s="187">
        <f>(1/B39)*1000</f>
        <v>6.8027210884353737</v>
      </c>
    </row>
    <row r="40" spans="1:11" ht="13" thickBot="1" x14ac:dyDescent="0.3">
      <c r="A40" s="22" t="s">
        <v>788</v>
      </c>
      <c r="B40" s="188">
        <v>3.89</v>
      </c>
      <c r="C40" s="189">
        <f>(1/B40)*1000</f>
        <v>257.0694087403599</v>
      </c>
    </row>
    <row r="41" spans="1:11" x14ac:dyDescent="0.25">
      <c r="I41" s="11"/>
      <c r="J41" s="550"/>
    </row>
    <row r="42" spans="1:11" x14ac:dyDescent="0.25">
      <c r="I42" s="11"/>
      <c r="J42" s="550"/>
    </row>
    <row r="43" spans="1:11" ht="13" thickBot="1" x14ac:dyDescent="0.3"/>
    <row r="44" spans="1:11" ht="23" x14ac:dyDescent="0.85">
      <c r="A44" s="966" t="s">
        <v>5</v>
      </c>
      <c r="B44" s="967"/>
      <c r="I44" s="11"/>
      <c r="J44" s="550"/>
    </row>
    <row r="45" spans="1:11" x14ac:dyDescent="0.25">
      <c r="A45" s="26"/>
      <c r="B45" s="49"/>
      <c r="I45" s="11"/>
      <c r="J45" s="550"/>
    </row>
    <row r="46" spans="1:11" x14ac:dyDescent="0.25">
      <c r="A46" s="55">
        <v>20</v>
      </c>
      <c r="B46" s="49"/>
    </row>
    <row r="47" spans="1:11" x14ac:dyDescent="0.25">
      <c r="A47" s="56">
        <f>(C24/A46)</f>
        <v>56.423230152000009</v>
      </c>
      <c r="B47" s="72">
        <f>((C24*12)/A46)</f>
        <v>677.07876182400014</v>
      </c>
    </row>
    <row r="48" spans="1:11" ht="13" thickBot="1" x14ac:dyDescent="0.3">
      <c r="A48" s="73">
        <f>(C23/A46)</f>
        <v>17.197800000000001</v>
      </c>
      <c r="B48" s="74">
        <f>((C23*1000)/A46)</f>
        <v>17197.8</v>
      </c>
    </row>
    <row r="51" spans="1:3" x14ac:dyDescent="0.25">
      <c r="A51" s="961" t="s">
        <v>1612</v>
      </c>
      <c r="B51" s="961"/>
    </row>
    <row r="52" spans="1:3" x14ac:dyDescent="0.25">
      <c r="A52" s="11" t="s">
        <v>1615</v>
      </c>
      <c r="B52" s="645">
        <v>90</v>
      </c>
    </row>
    <row r="53" spans="1:3" x14ac:dyDescent="0.25">
      <c r="A53" s="11" t="s">
        <v>1616</v>
      </c>
      <c r="B53" s="861">
        <f>B52-20*LOG10(B55/B54)</f>
        <v>76.020599913279625</v>
      </c>
    </row>
    <row r="54" spans="1:3" x14ac:dyDescent="0.25">
      <c r="A54" s="11" t="s">
        <v>1617</v>
      </c>
      <c r="B54" s="508">
        <v>4</v>
      </c>
      <c r="C54" s="11" t="s">
        <v>1619</v>
      </c>
    </row>
    <row r="55" spans="1:3" x14ac:dyDescent="0.25">
      <c r="A55" s="11" t="s">
        <v>1618</v>
      </c>
      <c r="B55" s="508">
        <v>20</v>
      </c>
      <c r="C55" s="11" t="s">
        <v>1619</v>
      </c>
    </row>
    <row r="56" spans="1:3" x14ac:dyDescent="0.25">
      <c r="A56" s="11" t="s">
        <v>1613</v>
      </c>
      <c r="B56" s="861">
        <f>B52-B53</f>
        <v>13.979400086720375</v>
      </c>
    </row>
    <row r="68" spans="2:5" x14ac:dyDescent="0.25">
      <c r="B68" s="961" t="s">
        <v>632</v>
      </c>
      <c r="C68" s="961"/>
      <c r="D68" s="961"/>
      <c r="E68" s="961"/>
    </row>
  </sheetData>
  <mergeCells count="16">
    <mergeCell ref="B68:E68"/>
    <mergeCell ref="A51:B51"/>
    <mergeCell ref="A1:H1"/>
    <mergeCell ref="A5:D5"/>
    <mergeCell ref="A13:B13"/>
    <mergeCell ref="A22:B22"/>
    <mergeCell ref="A27:D27"/>
    <mergeCell ref="A44:B44"/>
    <mergeCell ref="B6:C6"/>
    <mergeCell ref="A28:A29"/>
    <mergeCell ref="C28:C29"/>
    <mergeCell ref="A33:A34"/>
    <mergeCell ref="C33:C34"/>
    <mergeCell ref="F5:G10"/>
    <mergeCell ref="A38:C38"/>
    <mergeCell ref="E22:F22"/>
  </mergeCells>
  <pageMargins left="0.7" right="0.7" top="0.75" bottom="0.75" header="0.3" footer="0.3"/>
  <pageSetup orientation="portrait" horizontalDpi="1200" verticalDpi="12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7"/>
  <sheetViews>
    <sheetView workbookViewId="0"/>
  </sheetViews>
  <sheetFormatPr defaultRowHeight="12.5" x14ac:dyDescent="0.25"/>
  <cols>
    <col min="1" max="1" width="36.90625" customWidth="1"/>
    <col min="2" max="2" width="10.90625" style="157" bestFit="1" customWidth="1"/>
    <col min="3" max="3" width="9.08984375" style="157"/>
    <col min="4" max="4" width="9.453125" style="157" bestFit="1" customWidth="1"/>
    <col min="5" max="6" width="9.08984375" style="158"/>
    <col min="7" max="7" width="13.453125" style="159" bestFit="1" customWidth="1"/>
    <col min="8" max="8" width="11.08984375" style="160" bestFit="1" customWidth="1"/>
    <col min="9" max="9" width="12.453125" bestFit="1" customWidth="1"/>
  </cols>
  <sheetData>
    <row r="1" spans="1:14" ht="13" thickBot="1" x14ac:dyDescent="0.3"/>
    <row r="2" spans="1:14" s="161" customFormat="1" ht="16.5" customHeight="1" thickTop="1" thickBot="1" x14ac:dyDescent="0.4">
      <c r="B2" s="995" t="s">
        <v>728</v>
      </c>
      <c r="C2" s="996"/>
      <c r="D2" s="996"/>
      <c r="E2" s="996"/>
      <c r="F2" s="996"/>
      <c r="G2" s="997"/>
      <c r="L2" s="977" t="s">
        <v>752</v>
      </c>
      <c r="M2" s="992"/>
      <c r="N2" s="978"/>
    </row>
    <row r="3" spans="1:14" ht="14.5" x14ac:dyDescent="0.35">
      <c r="A3" s="162" t="s">
        <v>729</v>
      </c>
      <c r="B3" s="163" t="s">
        <v>730</v>
      </c>
      <c r="C3" s="163" t="s">
        <v>731</v>
      </c>
      <c r="D3" s="163" t="s">
        <v>93</v>
      </c>
      <c r="E3" s="164" t="s">
        <v>22</v>
      </c>
      <c r="F3" s="164" t="s">
        <v>732</v>
      </c>
      <c r="G3" s="165" t="s">
        <v>733</v>
      </c>
      <c r="H3" s="166" t="s">
        <v>734</v>
      </c>
      <c r="I3" s="167" t="s">
        <v>40</v>
      </c>
      <c r="L3" s="979"/>
      <c r="M3" s="993"/>
      <c r="N3" s="980"/>
    </row>
    <row r="4" spans="1:14" x14ac:dyDescent="0.25">
      <c r="A4" s="26" t="s">
        <v>735</v>
      </c>
      <c r="B4" s="19">
        <v>0</v>
      </c>
      <c r="C4" s="19">
        <v>0</v>
      </c>
      <c r="D4" s="19">
        <v>0</v>
      </c>
      <c r="E4" s="168">
        <f>(B4*0.001)*(C4*0.001)*(D4*0.001)</f>
        <v>0</v>
      </c>
      <c r="F4" s="169">
        <v>1</v>
      </c>
      <c r="G4" s="170">
        <v>12</v>
      </c>
      <c r="H4" s="171">
        <f>G4*E4</f>
        <v>0</v>
      </c>
      <c r="I4" s="172">
        <f>H4*F4</f>
        <v>0</v>
      </c>
      <c r="L4" s="979"/>
      <c r="M4" s="993"/>
      <c r="N4" s="980"/>
    </row>
    <row r="5" spans="1:14" x14ac:dyDescent="0.25">
      <c r="A5" s="26" t="s">
        <v>736</v>
      </c>
      <c r="B5" s="19">
        <v>0</v>
      </c>
      <c r="C5" s="19">
        <v>0</v>
      </c>
      <c r="D5" s="19">
        <v>0</v>
      </c>
      <c r="E5" s="168">
        <f t="shared" ref="E5:E6" si="0">(B5*0.001)*(C5*0.001)*(D5*0.001)</f>
        <v>0</v>
      </c>
      <c r="F5" s="169">
        <v>1</v>
      </c>
      <c r="G5" s="170">
        <v>40</v>
      </c>
      <c r="H5" s="171">
        <f t="shared" ref="H5:I14" si="1">G5*E5</f>
        <v>0</v>
      </c>
      <c r="I5" s="172">
        <f t="shared" si="1"/>
        <v>0</v>
      </c>
      <c r="L5" s="979"/>
      <c r="M5" s="993"/>
      <c r="N5" s="980"/>
    </row>
    <row r="6" spans="1:14" x14ac:dyDescent="0.25">
      <c r="A6" s="26" t="s">
        <v>737</v>
      </c>
      <c r="B6" s="19">
        <v>0</v>
      </c>
      <c r="C6" s="19">
        <v>0</v>
      </c>
      <c r="D6" s="19">
        <v>0</v>
      </c>
      <c r="E6" s="168">
        <f t="shared" si="0"/>
        <v>0</v>
      </c>
      <c r="F6" s="169">
        <v>1</v>
      </c>
      <c r="G6" s="170">
        <v>7840</v>
      </c>
      <c r="H6" s="171">
        <f t="shared" si="1"/>
        <v>0</v>
      </c>
      <c r="I6" s="172">
        <f t="shared" si="1"/>
        <v>0</v>
      </c>
      <c r="L6" s="979"/>
      <c r="M6" s="993"/>
      <c r="N6" s="980"/>
    </row>
    <row r="7" spans="1:14" x14ac:dyDescent="0.25">
      <c r="A7" s="26" t="s">
        <v>738</v>
      </c>
      <c r="B7" s="998" t="s">
        <v>739</v>
      </c>
      <c r="C7" s="998"/>
      <c r="D7" s="998"/>
      <c r="E7" s="173"/>
      <c r="F7" s="169">
        <v>1</v>
      </c>
      <c r="G7" s="174">
        <v>7840</v>
      </c>
      <c r="H7" s="171">
        <f t="shared" si="1"/>
        <v>0</v>
      </c>
      <c r="I7" s="172">
        <f t="shared" si="1"/>
        <v>0</v>
      </c>
      <c r="L7" s="979"/>
      <c r="M7" s="993"/>
      <c r="N7" s="980"/>
    </row>
    <row r="8" spans="1:14" ht="13" thickBot="1" x14ac:dyDescent="0.3">
      <c r="A8" s="26" t="s">
        <v>740</v>
      </c>
      <c r="B8" s="19">
        <v>0</v>
      </c>
      <c r="C8" s="19">
        <v>0</v>
      </c>
      <c r="D8" s="19">
        <v>0</v>
      </c>
      <c r="E8" s="168">
        <f t="shared" ref="E8:E14" si="2">(B8*0.001)*(C8*0.001)*(D8*0.001)</f>
        <v>0</v>
      </c>
      <c r="F8" s="169">
        <v>1</v>
      </c>
      <c r="G8" s="170">
        <v>160</v>
      </c>
      <c r="H8" s="171">
        <f t="shared" si="1"/>
        <v>0</v>
      </c>
      <c r="I8" s="172">
        <f t="shared" si="1"/>
        <v>0</v>
      </c>
      <c r="L8" s="981"/>
      <c r="M8" s="994"/>
      <c r="N8" s="982"/>
    </row>
    <row r="9" spans="1:14" ht="13" thickTop="1" x14ac:dyDescent="0.25">
      <c r="A9" s="26" t="s">
        <v>741</v>
      </c>
      <c r="B9" s="19">
        <v>0</v>
      </c>
      <c r="C9" s="19">
        <v>0</v>
      </c>
      <c r="D9" s="19">
        <v>0</v>
      </c>
      <c r="E9" s="168">
        <f t="shared" si="2"/>
        <v>0</v>
      </c>
      <c r="F9" s="169">
        <v>1</v>
      </c>
      <c r="G9" s="170">
        <v>40</v>
      </c>
      <c r="H9" s="171">
        <f t="shared" si="1"/>
        <v>0</v>
      </c>
      <c r="I9" s="172">
        <f t="shared" si="1"/>
        <v>0</v>
      </c>
    </row>
    <row r="10" spans="1:14" x14ac:dyDescent="0.25">
      <c r="A10" s="26" t="s">
        <v>742</v>
      </c>
      <c r="B10" s="19">
        <v>0</v>
      </c>
      <c r="C10" s="19">
        <v>0</v>
      </c>
      <c r="D10" s="19">
        <v>0</v>
      </c>
      <c r="E10" s="168">
        <f t="shared" si="2"/>
        <v>0</v>
      </c>
      <c r="F10" s="169">
        <v>1</v>
      </c>
      <c r="G10" s="170">
        <v>500</v>
      </c>
      <c r="H10" s="171">
        <f t="shared" si="1"/>
        <v>0</v>
      </c>
      <c r="I10" s="172">
        <f t="shared" si="1"/>
        <v>0</v>
      </c>
    </row>
    <row r="11" spans="1:14" x14ac:dyDescent="0.25">
      <c r="A11" s="26" t="s">
        <v>743</v>
      </c>
      <c r="B11" s="19">
        <v>0</v>
      </c>
      <c r="C11" s="19">
        <v>0</v>
      </c>
      <c r="D11" s="19">
        <v>0</v>
      </c>
      <c r="E11" s="168">
        <f t="shared" si="2"/>
        <v>0</v>
      </c>
      <c r="F11" s="169">
        <v>1</v>
      </c>
      <c r="G11" s="170">
        <v>590</v>
      </c>
      <c r="H11" s="171">
        <f t="shared" si="1"/>
        <v>0</v>
      </c>
      <c r="I11" s="172">
        <f t="shared" si="1"/>
        <v>0</v>
      </c>
    </row>
    <row r="12" spans="1:14" x14ac:dyDescent="0.25">
      <c r="A12" s="26" t="s">
        <v>744</v>
      </c>
      <c r="B12" s="19">
        <v>0</v>
      </c>
      <c r="C12" s="19">
        <v>0</v>
      </c>
      <c r="D12" s="19">
        <v>0</v>
      </c>
      <c r="E12" s="168">
        <f t="shared" si="2"/>
        <v>0</v>
      </c>
      <c r="F12" s="169">
        <v>1</v>
      </c>
      <c r="G12" s="170">
        <v>590</v>
      </c>
      <c r="H12" s="171">
        <f t="shared" si="1"/>
        <v>0</v>
      </c>
      <c r="I12" s="172">
        <f t="shared" si="1"/>
        <v>0</v>
      </c>
    </row>
    <row r="13" spans="1:14" x14ac:dyDescent="0.25">
      <c r="A13" s="26" t="s">
        <v>745</v>
      </c>
      <c r="B13" s="19">
        <v>0</v>
      </c>
      <c r="C13" s="19">
        <v>0</v>
      </c>
      <c r="D13" s="19">
        <v>0</v>
      </c>
      <c r="E13" s="168">
        <f t="shared" si="2"/>
        <v>0</v>
      </c>
      <c r="F13" s="169">
        <v>1</v>
      </c>
      <c r="G13" s="170">
        <v>750</v>
      </c>
      <c r="H13" s="171">
        <f t="shared" si="1"/>
        <v>0</v>
      </c>
      <c r="I13" s="172">
        <f t="shared" si="1"/>
        <v>0</v>
      </c>
    </row>
    <row r="14" spans="1:14" x14ac:dyDescent="0.25">
      <c r="A14" s="26" t="s">
        <v>746</v>
      </c>
      <c r="B14" s="19">
        <v>0</v>
      </c>
      <c r="C14" s="19">
        <v>0</v>
      </c>
      <c r="D14" s="19">
        <v>0</v>
      </c>
      <c r="E14" s="168">
        <f t="shared" si="2"/>
        <v>0</v>
      </c>
      <c r="F14" s="169">
        <v>1</v>
      </c>
      <c r="G14" s="170">
        <v>676</v>
      </c>
      <c r="H14" s="171">
        <f t="shared" si="1"/>
        <v>0</v>
      </c>
      <c r="I14" s="172">
        <f t="shared" si="1"/>
        <v>0</v>
      </c>
    </row>
    <row r="15" spans="1:14" x14ac:dyDescent="0.25">
      <c r="A15" s="26"/>
      <c r="B15" s="19">
        <v>0</v>
      </c>
      <c r="C15" s="19">
        <v>0</v>
      </c>
      <c r="D15" s="19">
        <v>0</v>
      </c>
      <c r="E15" s="168">
        <f t="shared" ref="E15:E20" si="3">(B15*0.001)*(C15*0.001)*(D15*0.001)</f>
        <v>0</v>
      </c>
      <c r="F15" s="169">
        <v>1</v>
      </c>
      <c r="G15" s="170">
        <v>676</v>
      </c>
      <c r="H15" s="171">
        <f t="shared" ref="H15:H20" si="4">G15*E15</f>
        <v>0</v>
      </c>
      <c r="I15" s="172">
        <f t="shared" ref="I15:I20" si="5">H15*F15</f>
        <v>0</v>
      </c>
    </row>
    <row r="16" spans="1:14" x14ac:dyDescent="0.25">
      <c r="A16" s="26"/>
      <c r="B16" s="19">
        <v>0</v>
      </c>
      <c r="C16" s="19">
        <v>0</v>
      </c>
      <c r="D16" s="19">
        <v>0</v>
      </c>
      <c r="E16" s="168">
        <f t="shared" si="3"/>
        <v>0</v>
      </c>
      <c r="F16" s="169">
        <v>1</v>
      </c>
      <c r="G16" s="170">
        <v>676</v>
      </c>
      <c r="H16" s="171">
        <f t="shared" si="4"/>
        <v>0</v>
      </c>
      <c r="I16" s="172">
        <f t="shared" si="5"/>
        <v>0</v>
      </c>
    </row>
    <row r="17" spans="1:9" x14ac:dyDescent="0.25">
      <c r="A17" s="26"/>
      <c r="B17" s="19">
        <v>0</v>
      </c>
      <c r="C17" s="19">
        <v>0</v>
      </c>
      <c r="D17" s="19">
        <v>0</v>
      </c>
      <c r="E17" s="168">
        <f t="shared" si="3"/>
        <v>0</v>
      </c>
      <c r="F17" s="169">
        <v>1</v>
      </c>
      <c r="G17" s="170">
        <v>676</v>
      </c>
      <c r="H17" s="171">
        <f t="shared" si="4"/>
        <v>0</v>
      </c>
      <c r="I17" s="172">
        <f t="shared" si="5"/>
        <v>0</v>
      </c>
    </row>
    <row r="18" spans="1:9" x14ac:dyDescent="0.25">
      <c r="A18" s="26"/>
      <c r="B18" s="19">
        <v>0</v>
      </c>
      <c r="C18" s="19">
        <v>0</v>
      </c>
      <c r="D18" s="19">
        <v>0</v>
      </c>
      <c r="E18" s="168">
        <f t="shared" si="3"/>
        <v>0</v>
      </c>
      <c r="F18" s="169">
        <v>1</v>
      </c>
      <c r="G18" s="170">
        <v>676</v>
      </c>
      <c r="H18" s="171">
        <f t="shared" si="4"/>
        <v>0</v>
      </c>
      <c r="I18" s="172">
        <f t="shared" si="5"/>
        <v>0</v>
      </c>
    </row>
    <row r="19" spans="1:9" x14ac:dyDescent="0.25">
      <c r="A19" s="26"/>
      <c r="B19" s="19">
        <v>0</v>
      </c>
      <c r="C19" s="19">
        <v>0</v>
      </c>
      <c r="D19" s="19">
        <v>0</v>
      </c>
      <c r="E19" s="168">
        <f t="shared" si="3"/>
        <v>0</v>
      </c>
      <c r="F19" s="169">
        <v>1</v>
      </c>
      <c r="G19" s="170">
        <v>676</v>
      </c>
      <c r="H19" s="171">
        <f t="shared" si="4"/>
        <v>0</v>
      </c>
      <c r="I19" s="172">
        <f t="shared" si="5"/>
        <v>0</v>
      </c>
    </row>
    <row r="20" spans="1:9" x14ac:dyDescent="0.25">
      <c r="A20" s="26"/>
      <c r="B20" s="19">
        <v>0</v>
      </c>
      <c r="C20" s="19">
        <v>0</v>
      </c>
      <c r="D20" s="19">
        <v>0</v>
      </c>
      <c r="E20" s="168">
        <f t="shared" si="3"/>
        <v>0</v>
      </c>
      <c r="F20" s="169">
        <v>1</v>
      </c>
      <c r="G20" s="170">
        <v>676</v>
      </c>
      <c r="H20" s="171">
        <f t="shared" si="4"/>
        <v>0</v>
      </c>
      <c r="I20" s="172">
        <f t="shared" si="5"/>
        <v>0</v>
      </c>
    </row>
    <row r="21" spans="1:9" x14ac:dyDescent="0.25">
      <c r="A21" s="987" t="s">
        <v>747</v>
      </c>
      <c r="B21" s="988"/>
      <c r="C21" s="988"/>
      <c r="D21" s="988"/>
      <c r="E21" s="988"/>
      <c r="F21" s="988"/>
      <c r="G21" s="988"/>
      <c r="H21" s="15">
        <v>0</v>
      </c>
      <c r="I21" s="172">
        <f>H21</f>
        <v>0</v>
      </c>
    </row>
    <row r="22" spans="1:9" ht="14.5" x14ac:dyDescent="0.35">
      <c r="A22" s="989" t="s">
        <v>748</v>
      </c>
      <c r="B22" s="990"/>
      <c r="C22" s="990"/>
      <c r="D22" s="990"/>
      <c r="E22" s="990"/>
      <c r="F22" s="990"/>
      <c r="G22" s="990"/>
      <c r="H22" s="990"/>
      <c r="I22" s="172">
        <f>SUM(I4:I21)</f>
        <v>0</v>
      </c>
    </row>
    <row r="23" spans="1:9" ht="13" thickBot="1" x14ac:dyDescent="0.3">
      <c r="A23" s="22" t="s">
        <v>749</v>
      </c>
      <c r="B23" s="47">
        <v>24</v>
      </c>
      <c r="C23" s="991" t="s">
        <v>750</v>
      </c>
      <c r="D23" s="991"/>
      <c r="E23" s="991"/>
      <c r="F23" s="991"/>
      <c r="G23" s="991"/>
      <c r="H23" s="991"/>
      <c r="I23" s="175">
        <f>I22/B23</f>
        <v>0</v>
      </c>
    </row>
    <row r="25" spans="1:9" ht="13" thickBot="1" x14ac:dyDescent="0.3"/>
    <row r="26" spans="1:9" s="176" customFormat="1" ht="15" thickBot="1" x14ac:dyDescent="0.4">
      <c r="B26" s="999" t="s">
        <v>751</v>
      </c>
      <c r="C26" s="1000"/>
      <c r="D26" s="1000"/>
      <c r="E26" s="1000"/>
      <c r="F26" s="1000"/>
      <c r="G26" s="1001"/>
      <c r="H26" s="177"/>
    </row>
    <row r="27" spans="1:9" ht="14.5" x14ac:dyDescent="0.35">
      <c r="A27" s="162" t="s">
        <v>729</v>
      </c>
      <c r="B27" s="163" t="s">
        <v>730</v>
      </c>
      <c r="C27" s="163" t="s">
        <v>731</v>
      </c>
      <c r="D27" s="163" t="s">
        <v>93</v>
      </c>
      <c r="E27" s="164" t="s">
        <v>22</v>
      </c>
      <c r="F27" s="164" t="s">
        <v>732</v>
      </c>
      <c r="G27" s="165" t="s">
        <v>733</v>
      </c>
      <c r="H27" s="166" t="s">
        <v>734</v>
      </c>
      <c r="I27" s="167" t="s">
        <v>40</v>
      </c>
    </row>
    <row r="28" spans="1:9" x14ac:dyDescent="0.25">
      <c r="A28" s="26" t="s">
        <v>735</v>
      </c>
      <c r="B28" s="178">
        <v>0</v>
      </c>
      <c r="C28" s="178">
        <v>0</v>
      </c>
      <c r="D28" s="178">
        <v>0</v>
      </c>
      <c r="E28" s="179">
        <f>(B28/12)*(C28/12)*(D28/12)</f>
        <v>0</v>
      </c>
      <c r="F28" s="169">
        <v>1</v>
      </c>
      <c r="G28" s="180">
        <f t="shared" ref="G28:G38" si="6">G4*0.062427961</f>
        <v>0.74913553199999994</v>
      </c>
      <c r="H28" s="48">
        <f>G28*E28</f>
        <v>0</v>
      </c>
      <c r="I28" s="181">
        <f>H28*F28</f>
        <v>0</v>
      </c>
    </row>
    <row r="29" spans="1:9" x14ac:dyDescent="0.25">
      <c r="A29" s="26" t="s">
        <v>736</v>
      </c>
      <c r="B29" s="178">
        <v>0</v>
      </c>
      <c r="C29" s="178">
        <v>0</v>
      </c>
      <c r="D29" s="178">
        <v>0</v>
      </c>
      <c r="E29" s="179">
        <f t="shared" ref="E29:E38" si="7">(B29/12)*(C29/12)*(D29/12)</f>
        <v>0</v>
      </c>
      <c r="F29" s="169">
        <v>1</v>
      </c>
      <c r="G29" s="180">
        <f t="shared" si="6"/>
        <v>2.4971184399999999</v>
      </c>
      <c r="H29" s="48">
        <f t="shared" ref="H29:I38" si="8">G29*E29</f>
        <v>0</v>
      </c>
      <c r="I29" s="181">
        <f t="shared" si="8"/>
        <v>0</v>
      </c>
    </row>
    <row r="30" spans="1:9" x14ac:dyDescent="0.25">
      <c r="A30" s="26" t="s">
        <v>737</v>
      </c>
      <c r="B30" s="178">
        <v>0</v>
      </c>
      <c r="C30" s="178">
        <v>0</v>
      </c>
      <c r="D30" s="178">
        <v>0</v>
      </c>
      <c r="E30" s="179">
        <f t="shared" si="7"/>
        <v>0</v>
      </c>
      <c r="F30" s="169">
        <v>1</v>
      </c>
      <c r="G30" s="180">
        <f t="shared" si="6"/>
        <v>489.43521423999999</v>
      </c>
      <c r="H30" s="48">
        <f t="shared" si="8"/>
        <v>0</v>
      </c>
      <c r="I30" s="181">
        <f t="shared" si="8"/>
        <v>0</v>
      </c>
    </row>
    <row r="31" spans="1:9" x14ac:dyDescent="0.25">
      <c r="A31" s="26" t="s">
        <v>738</v>
      </c>
      <c r="B31" s="986" t="s">
        <v>739</v>
      </c>
      <c r="C31" s="986"/>
      <c r="D31" s="986"/>
      <c r="E31" s="182"/>
      <c r="F31" s="169">
        <v>1</v>
      </c>
      <c r="G31" s="180">
        <f t="shared" si="6"/>
        <v>489.43521423999999</v>
      </c>
      <c r="H31" s="48">
        <f t="shared" si="8"/>
        <v>0</v>
      </c>
      <c r="I31" s="181">
        <f t="shared" si="8"/>
        <v>0</v>
      </c>
    </row>
    <row r="32" spans="1:9" x14ac:dyDescent="0.25">
      <c r="A32" s="26" t="s">
        <v>740</v>
      </c>
      <c r="B32" s="178">
        <v>0</v>
      </c>
      <c r="C32" s="178">
        <v>0</v>
      </c>
      <c r="D32" s="178">
        <v>0</v>
      </c>
      <c r="E32" s="179">
        <f t="shared" si="7"/>
        <v>0</v>
      </c>
      <c r="F32" s="169">
        <v>1</v>
      </c>
      <c r="G32" s="180">
        <f t="shared" si="6"/>
        <v>9.9884737599999998</v>
      </c>
      <c r="H32" s="48">
        <f t="shared" si="8"/>
        <v>0</v>
      </c>
      <c r="I32" s="181">
        <f t="shared" si="8"/>
        <v>0</v>
      </c>
    </row>
    <row r="33" spans="1:13" x14ac:dyDescent="0.25">
      <c r="A33" s="26" t="s">
        <v>741</v>
      </c>
      <c r="B33" s="178">
        <v>0</v>
      </c>
      <c r="C33" s="178">
        <v>0</v>
      </c>
      <c r="D33" s="178">
        <v>0</v>
      </c>
      <c r="E33" s="179">
        <f t="shared" si="7"/>
        <v>0</v>
      </c>
      <c r="F33" s="169">
        <v>1</v>
      </c>
      <c r="G33" s="180">
        <f t="shared" si="6"/>
        <v>2.4971184399999999</v>
      </c>
      <c r="H33" s="48">
        <f t="shared" si="8"/>
        <v>0</v>
      </c>
      <c r="I33" s="181">
        <f t="shared" si="8"/>
        <v>0</v>
      </c>
    </row>
    <row r="34" spans="1:13" x14ac:dyDescent="0.25">
      <c r="A34" s="26" t="s">
        <v>742</v>
      </c>
      <c r="B34" s="178">
        <v>0</v>
      </c>
      <c r="C34" s="178">
        <v>0</v>
      </c>
      <c r="D34" s="178">
        <v>0</v>
      </c>
      <c r="E34" s="179">
        <f t="shared" si="7"/>
        <v>0</v>
      </c>
      <c r="F34" s="169">
        <v>1</v>
      </c>
      <c r="G34" s="180">
        <f t="shared" si="6"/>
        <v>31.213980499999998</v>
      </c>
      <c r="H34" s="48">
        <f t="shared" si="8"/>
        <v>0</v>
      </c>
      <c r="I34" s="181">
        <f t="shared" si="8"/>
        <v>0</v>
      </c>
    </row>
    <row r="35" spans="1:13" x14ac:dyDescent="0.25">
      <c r="A35" s="26" t="s">
        <v>743</v>
      </c>
      <c r="B35" s="178">
        <v>0</v>
      </c>
      <c r="C35" s="178">
        <v>0</v>
      </c>
      <c r="D35" s="178">
        <v>0</v>
      </c>
      <c r="E35" s="179">
        <f t="shared" si="7"/>
        <v>0</v>
      </c>
      <c r="F35" s="169">
        <v>1</v>
      </c>
      <c r="G35" s="180">
        <f t="shared" si="6"/>
        <v>36.832496989999996</v>
      </c>
      <c r="H35" s="48">
        <f t="shared" si="8"/>
        <v>0</v>
      </c>
      <c r="I35" s="181">
        <f t="shared" si="8"/>
        <v>0</v>
      </c>
    </row>
    <row r="36" spans="1:13" x14ac:dyDescent="0.25">
      <c r="A36" s="26" t="s">
        <v>744</v>
      </c>
      <c r="B36" s="178">
        <v>0</v>
      </c>
      <c r="C36" s="178">
        <v>0</v>
      </c>
      <c r="D36" s="178">
        <v>0</v>
      </c>
      <c r="E36" s="179">
        <f t="shared" si="7"/>
        <v>0</v>
      </c>
      <c r="F36" s="169">
        <v>1</v>
      </c>
      <c r="G36" s="180">
        <f t="shared" si="6"/>
        <v>36.832496989999996</v>
      </c>
      <c r="H36" s="48">
        <f t="shared" si="8"/>
        <v>0</v>
      </c>
      <c r="I36" s="181">
        <f t="shared" si="8"/>
        <v>0</v>
      </c>
    </row>
    <row r="37" spans="1:13" x14ac:dyDescent="0.25">
      <c r="A37" s="26" t="s">
        <v>745</v>
      </c>
      <c r="B37" s="178">
        <v>0</v>
      </c>
      <c r="C37" s="178">
        <v>0</v>
      </c>
      <c r="D37" s="178">
        <v>0</v>
      </c>
      <c r="E37" s="179">
        <f t="shared" si="7"/>
        <v>0</v>
      </c>
      <c r="F37" s="169">
        <v>1</v>
      </c>
      <c r="G37" s="180">
        <f t="shared" si="6"/>
        <v>46.820970750000001</v>
      </c>
      <c r="H37" s="48">
        <f t="shared" si="8"/>
        <v>0</v>
      </c>
      <c r="I37" s="181">
        <f t="shared" si="8"/>
        <v>0</v>
      </c>
    </row>
    <row r="38" spans="1:13" x14ac:dyDescent="0.25">
      <c r="A38" s="26" t="s">
        <v>746</v>
      </c>
      <c r="B38" s="178">
        <v>0</v>
      </c>
      <c r="C38" s="178">
        <v>0</v>
      </c>
      <c r="D38" s="178">
        <v>0</v>
      </c>
      <c r="E38" s="179">
        <f t="shared" si="7"/>
        <v>0</v>
      </c>
      <c r="F38" s="169">
        <v>1</v>
      </c>
      <c r="G38" s="180">
        <f t="shared" si="6"/>
        <v>42.201301635999997</v>
      </c>
      <c r="H38" s="48">
        <f t="shared" si="8"/>
        <v>0</v>
      </c>
      <c r="I38" s="181">
        <f t="shared" si="8"/>
        <v>0</v>
      </c>
    </row>
    <row r="39" spans="1:13" x14ac:dyDescent="0.25">
      <c r="A39" s="26"/>
      <c r="B39" s="178">
        <v>0</v>
      </c>
      <c r="C39" s="178">
        <v>0</v>
      </c>
      <c r="D39" s="178">
        <v>0</v>
      </c>
      <c r="E39" s="179">
        <f t="shared" ref="E39:E44" si="9">(B39/12)*(C39/12)*(D39/12)</f>
        <v>0</v>
      </c>
      <c r="F39" s="169">
        <v>1</v>
      </c>
      <c r="G39" s="180">
        <f t="shared" ref="G39:G44" si="10">G15*0.062427961</f>
        <v>42.201301635999997</v>
      </c>
      <c r="H39" s="48">
        <f t="shared" ref="H39:H44" si="11">G39*E39</f>
        <v>0</v>
      </c>
      <c r="I39" s="181">
        <f t="shared" ref="I39:I44" si="12">H39*F39</f>
        <v>0</v>
      </c>
    </row>
    <row r="40" spans="1:13" x14ac:dyDescent="0.25">
      <c r="A40" s="26"/>
      <c r="B40" s="178">
        <v>0</v>
      </c>
      <c r="C40" s="178">
        <v>0</v>
      </c>
      <c r="D40" s="178">
        <v>0</v>
      </c>
      <c r="E40" s="179">
        <f t="shared" si="9"/>
        <v>0</v>
      </c>
      <c r="F40" s="169">
        <v>1</v>
      </c>
      <c r="G40" s="180">
        <f t="shared" si="10"/>
        <v>42.201301635999997</v>
      </c>
      <c r="H40" s="48">
        <f t="shared" si="11"/>
        <v>0</v>
      </c>
      <c r="I40" s="181">
        <f t="shared" si="12"/>
        <v>0</v>
      </c>
    </row>
    <row r="41" spans="1:13" x14ac:dyDescent="0.25">
      <c r="A41" s="26"/>
      <c r="B41" s="178">
        <v>0</v>
      </c>
      <c r="C41" s="178">
        <v>0</v>
      </c>
      <c r="D41" s="178">
        <v>0</v>
      </c>
      <c r="E41" s="179">
        <f t="shared" si="9"/>
        <v>0</v>
      </c>
      <c r="F41" s="169">
        <v>1</v>
      </c>
      <c r="G41" s="180">
        <f t="shared" si="10"/>
        <v>42.201301635999997</v>
      </c>
      <c r="H41" s="48">
        <f t="shared" si="11"/>
        <v>0</v>
      </c>
      <c r="I41" s="181">
        <f t="shared" si="12"/>
        <v>0</v>
      </c>
    </row>
    <row r="42" spans="1:13" x14ac:dyDescent="0.25">
      <c r="A42" s="26"/>
      <c r="B42" s="178">
        <v>0</v>
      </c>
      <c r="C42" s="178">
        <v>0</v>
      </c>
      <c r="D42" s="178">
        <v>0</v>
      </c>
      <c r="E42" s="179">
        <f t="shared" si="9"/>
        <v>0</v>
      </c>
      <c r="F42" s="169">
        <v>1</v>
      </c>
      <c r="G42" s="180">
        <f t="shared" si="10"/>
        <v>42.201301635999997</v>
      </c>
      <c r="H42" s="48">
        <f t="shared" si="11"/>
        <v>0</v>
      </c>
      <c r="I42" s="181">
        <f t="shared" si="12"/>
        <v>0</v>
      </c>
      <c r="M42" s="11" t="s">
        <v>727</v>
      </c>
    </row>
    <row r="43" spans="1:13" x14ac:dyDescent="0.25">
      <c r="A43" s="26"/>
      <c r="B43" s="178">
        <v>0</v>
      </c>
      <c r="C43" s="178">
        <v>0</v>
      </c>
      <c r="D43" s="178">
        <v>0</v>
      </c>
      <c r="E43" s="179">
        <f t="shared" si="9"/>
        <v>0</v>
      </c>
      <c r="F43" s="169">
        <v>1</v>
      </c>
      <c r="G43" s="180">
        <f t="shared" si="10"/>
        <v>42.201301635999997</v>
      </c>
      <c r="H43" s="48">
        <f t="shared" si="11"/>
        <v>0</v>
      </c>
      <c r="I43" s="181">
        <f t="shared" si="12"/>
        <v>0</v>
      </c>
    </row>
    <row r="44" spans="1:13" x14ac:dyDescent="0.25">
      <c r="A44" s="26"/>
      <c r="B44" s="178">
        <v>0</v>
      </c>
      <c r="C44" s="178">
        <v>0</v>
      </c>
      <c r="D44" s="178">
        <v>0</v>
      </c>
      <c r="E44" s="179">
        <f t="shared" si="9"/>
        <v>0</v>
      </c>
      <c r="F44" s="169">
        <v>1</v>
      </c>
      <c r="G44" s="180">
        <f t="shared" si="10"/>
        <v>42.201301635999997</v>
      </c>
      <c r="H44" s="48">
        <f t="shared" si="11"/>
        <v>0</v>
      </c>
      <c r="I44" s="181">
        <f t="shared" si="12"/>
        <v>0</v>
      </c>
    </row>
    <row r="45" spans="1:13" x14ac:dyDescent="0.25">
      <c r="A45" s="987" t="s">
        <v>747</v>
      </c>
      <c r="B45" s="988"/>
      <c r="C45" s="988"/>
      <c r="D45" s="988"/>
      <c r="E45" s="988"/>
      <c r="F45" s="988"/>
      <c r="G45" s="988"/>
      <c r="H45" s="18">
        <v>0</v>
      </c>
      <c r="I45" s="181">
        <f>H45</f>
        <v>0</v>
      </c>
    </row>
    <row r="46" spans="1:13" ht="14.5" x14ac:dyDescent="0.35">
      <c r="A46" s="989" t="s">
        <v>748</v>
      </c>
      <c r="B46" s="990"/>
      <c r="C46" s="990"/>
      <c r="D46" s="990"/>
      <c r="E46" s="990"/>
      <c r="F46" s="990"/>
      <c r="G46" s="990"/>
      <c r="H46" s="990"/>
      <c r="I46" s="181">
        <f>SUM(I28:I45)</f>
        <v>0</v>
      </c>
    </row>
    <row r="47" spans="1:13" ht="13" thickBot="1" x14ac:dyDescent="0.3">
      <c r="A47" s="22" t="s">
        <v>749</v>
      </c>
      <c r="B47" s="47">
        <v>24</v>
      </c>
      <c r="C47" s="991" t="s">
        <v>750</v>
      </c>
      <c r="D47" s="991"/>
      <c r="E47" s="991"/>
      <c r="F47" s="991"/>
      <c r="G47" s="991"/>
      <c r="H47" s="991"/>
      <c r="I47" s="183">
        <f>I46/B47</f>
        <v>0</v>
      </c>
    </row>
  </sheetData>
  <mergeCells count="11">
    <mergeCell ref="B31:D31"/>
    <mergeCell ref="A45:G45"/>
    <mergeCell ref="A46:H46"/>
    <mergeCell ref="C47:H47"/>
    <mergeCell ref="L2:N8"/>
    <mergeCell ref="B2:G2"/>
    <mergeCell ref="B7:D7"/>
    <mergeCell ref="A21:G21"/>
    <mergeCell ref="A22:H22"/>
    <mergeCell ref="C23:H23"/>
    <mergeCell ref="B26:G26"/>
  </mergeCells>
  <pageMargins left="0.7" right="0.7" top="0.75" bottom="0.75" header="0.3" footer="0.3"/>
  <pageSetup paperSize="9" orientation="portrait" horizontalDpi="4294967292"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3"/>
  <sheetViews>
    <sheetView topLeftCell="A12" zoomScale="115" zoomScaleNormal="115" workbookViewId="0">
      <selection activeCell="L54" sqref="L54"/>
    </sheetView>
  </sheetViews>
  <sheetFormatPr defaultColWidth="9.08984375" defaultRowHeight="12.5" x14ac:dyDescent="0.25"/>
  <cols>
    <col min="1" max="1" width="39.453125" style="30" bestFit="1" customWidth="1"/>
    <col min="2" max="2" width="12.453125" style="30" bestFit="1" customWidth="1"/>
    <col min="3" max="3" width="12" style="30" customWidth="1"/>
    <col min="4" max="4" width="13.6328125" style="30" bestFit="1" customWidth="1"/>
    <col min="5" max="5" width="9.6328125" style="30" bestFit="1" customWidth="1"/>
    <col min="6" max="6" width="11.6328125" style="30" customWidth="1"/>
    <col min="7" max="7" width="9.81640625" style="30" bestFit="1" customWidth="1"/>
    <col min="8" max="8" width="10.1796875" style="30" bestFit="1" customWidth="1"/>
    <col min="9" max="9" width="9.08984375" style="30"/>
    <col min="10" max="10" width="11.54296875" style="30" bestFit="1" customWidth="1"/>
    <col min="11" max="11" width="10.1796875" style="30" bestFit="1" customWidth="1"/>
    <col min="12" max="12" width="11.1796875" style="30" bestFit="1" customWidth="1"/>
    <col min="13" max="13" width="10.1796875" style="30" bestFit="1" customWidth="1"/>
    <col min="14" max="14" width="9.453125" style="30" bestFit="1" customWidth="1"/>
    <col min="15" max="16384" width="9.08984375" style="30"/>
  </cols>
  <sheetData>
    <row r="1" spans="1:22" ht="18" x14ac:dyDescent="0.25">
      <c r="A1" s="78" t="s">
        <v>392</v>
      </c>
    </row>
    <row r="2" spans="1:22" ht="12.75" customHeight="1" thickBot="1" x14ac:dyDescent="0.3">
      <c r="A2" s="79"/>
    </row>
    <row r="3" spans="1:22" ht="12.75" customHeight="1" thickTop="1" thickBot="1" x14ac:dyDescent="0.3">
      <c r="J3" s="977" t="s">
        <v>752</v>
      </c>
      <c r="K3" s="978"/>
    </row>
    <row r="4" spans="1:22" x14ac:dyDescent="0.25">
      <c r="A4" s="36"/>
      <c r="B4" s="31"/>
      <c r="C4" s="31"/>
      <c r="D4" s="31"/>
      <c r="E4" s="31"/>
      <c r="F4" s="31"/>
      <c r="G4" s="32"/>
      <c r="J4" s="979"/>
      <c r="K4" s="980"/>
    </row>
    <row r="5" spans="1:22" ht="18" x14ac:dyDescent="0.25">
      <c r="A5" s="80" t="s">
        <v>407</v>
      </c>
      <c r="G5" s="33"/>
      <c r="I5" s="42"/>
      <c r="J5" s="979"/>
      <c r="K5" s="980"/>
    </row>
    <row r="6" spans="1:22" x14ac:dyDescent="0.25">
      <c r="A6" s="34"/>
      <c r="G6" s="33"/>
      <c r="J6" s="979"/>
      <c r="K6" s="980"/>
    </row>
    <row r="7" spans="1:22" s="37" customFormat="1" ht="13.5" thickBot="1" x14ac:dyDescent="0.3">
      <c r="A7" s="34"/>
      <c r="B7" s="41" t="s">
        <v>8</v>
      </c>
      <c r="C7" s="30"/>
      <c r="D7" s="30"/>
      <c r="E7" s="30"/>
      <c r="F7" s="30"/>
      <c r="G7" s="33"/>
      <c r="H7" s="30"/>
      <c r="J7" s="981"/>
      <c r="K7" s="982"/>
    </row>
    <row r="8" spans="1:22" ht="13" thickTop="1" x14ac:dyDescent="0.25">
      <c r="A8" s="34"/>
      <c r="B8" s="43" t="s">
        <v>102</v>
      </c>
      <c r="G8" s="33"/>
      <c r="P8" s="38"/>
      <c r="V8" s="38"/>
    </row>
    <row r="9" spans="1:22" x14ac:dyDescent="0.25">
      <c r="A9" s="34" t="s">
        <v>408</v>
      </c>
      <c r="B9" s="81">
        <v>87</v>
      </c>
      <c r="G9" s="33"/>
      <c r="K9" s="38"/>
      <c r="P9" s="38"/>
      <c r="V9" s="38"/>
    </row>
    <row r="10" spans="1:22" x14ac:dyDescent="0.25">
      <c r="A10" s="34" t="s">
        <v>409</v>
      </c>
      <c r="B10" s="81">
        <v>59</v>
      </c>
      <c r="G10" s="33"/>
      <c r="K10" s="38"/>
      <c r="P10" s="38"/>
      <c r="V10" s="38"/>
    </row>
    <row r="11" spans="1:22" x14ac:dyDescent="0.25">
      <c r="A11" s="34" t="s">
        <v>410</v>
      </c>
      <c r="B11" s="44">
        <f>((B9*B9)-(B10*B10))^(1/2)</f>
        <v>63.937469452583123</v>
      </c>
      <c r="G11" s="33"/>
    </row>
    <row r="12" spans="1:22" s="37" customFormat="1" ht="54.75" customHeight="1" x14ac:dyDescent="0.25">
      <c r="A12" s="34"/>
      <c r="B12" s="30"/>
      <c r="C12" s="30"/>
      <c r="D12" s="30"/>
      <c r="E12" s="30"/>
      <c r="F12" s="30"/>
      <c r="G12" s="33"/>
      <c r="H12" s="30"/>
    </row>
    <row r="13" spans="1:22" x14ac:dyDescent="0.25">
      <c r="A13" s="34"/>
      <c r="G13" s="33"/>
    </row>
    <row r="14" spans="1:22" x14ac:dyDescent="0.25">
      <c r="A14" s="34"/>
      <c r="G14" s="33"/>
    </row>
    <row r="15" spans="1:22" x14ac:dyDescent="0.25">
      <c r="A15" s="34"/>
      <c r="G15" s="33"/>
    </row>
    <row r="16" spans="1:22" ht="13" thickBot="1" x14ac:dyDescent="0.3">
      <c r="A16" s="39"/>
      <c r="B16" s="40"/>
      <c r="C16" s="40"/>
      <c r="D16" s="40"/>
      <c r="E16" s="40"/>
      <c r="F16" s="40"/>
      <c r="G16" s="35"/>
    </row>
    <row r="18" spans="1:22" ht="13" thickBot="1" x14ac:dyDescent="0.3"/>
    <row r="19" spans="1:22" ht="20" x14ac:dyDescent="0.25">
      <c r="A19" s="1004" t="s">
        <v>469</v>
      </c>
      <c r="B19" s="1005"/>
      <c r="C19" s="1005"/>
      <c r="D19" s="1006"/>
    </row>
    <row r="20" spans="1:22" x14ac:dyDescent="0.25">
      <c r="A20" s="82" t="s">
        <v>452</v>
      </c>
      <c r="B20" s="1007" t="s">
        <v>470</v>
      </c>
      <c r="C20" s="1007"/>
      <c r="D20" s="83" t="s">
        <v>455</v>
      </c>
    </row>
    <row r="21" spans="1:22" x14ac:dyDescent="0.25">
      <c r="A21" s="82" t="s">
        <v>1142</v>
      </c>
      <c r="B21" s="1003">
        <v>23</v>
      </c>
      <c r="C21" s="1003"/>
      <c r="D21" s="84">
        <f>LOG(1/B21)*10</f>
        <v>-13.617278360175929</v>
      </c>
    </row>
    <row r="22" spans="1:22" x14ac:dyDescent="0.25">
      <c r="A22" s="82"/>
      <c r="B22" s="45" t="s">
        <v>453</v>
      </c>
      <c r="C22" s="45" t="s">
        <v>454</v>
      </c>
      <c r="D22" s="84"/>
      <c r="J22" s="38"/>
    </row>
    <row r="23" spans="1:22" s="37" customFormat="1" ht="70.5" customHeight="1" thickBot="1" x14ac:dyDescent="0.3">
      <c r="A23" s="85" t="s">
        <v>471</v>
      </c>
      <c r="B23" s="184">
        <v>46</v>
      </c>
      <c r="C23" s="184">
        <v>25</v>
      </c>
      <c r="D23" s="86">
        <f>LOG(1/(B23*C23))*10</f>
        <v>-30.606978403536118</v>
      </c>
      <c r="E23" s="30"/>
      <c r="F23" s="30"/>
      <c r="G23" s="30"/>
      <c r="H23" s="30"/>
    </row>
    <row r="24" spans="1:22" x14ac:dyDescent="0.25">
      <c r="A24" s="41"/>
      <c r="I24" s="38"/>
      <c r="P24" s="38"/>
      <c r="V24" s="38"/>
    </row>
    <row r="25" spans="1:22" x14ac:dyDescent="0.25">
      <c r="A25" s="41"/>
      <c r="K25" s="38"/>
      <c r="P25" s="38"/>
      <c r="V25" s="38"/>
    </row>
    <row r="26" spans="1:22" ht="14.5" x14ac:dyDescent="0.35">
      <c r="A26" s="176"/>
      <c r="B26" s="3"/>
      <c r="C26" s="848" t="s">
        <v>1603</v>
      </c>
      <c r="D26" s="848" t="s">
        <v>1601</v>
      </c>
      <c r="E26" s="848" t="s">
        <v>1602</v>
      </c>
      <c r="F26"/>
      <c r="G26" s="1002" t="s">
        <v>1604</v>
      </c>
      <c r="H26" s="1002"/>
      <c r="I26" s="1002"/>
      <c r="J26" s="1002"/>
      <c r="L26" s="1002" t="s">
        <v>1604</v>
      </c>
      <c r="M26" s="1002"/>
      <c r="N26" s="1002"/>
      <c r="O26" s="1002"/>
    </row>
    <row r="27" spans="1:22" ht="15.5" x14ac:dyDescent="0.35">
      <c r="A27" s="2" t="s">
        <v>1605</v>
      </c>
      <c r="B27" s="2" t="s">
        <v>20</v>
      </c>
      <c r="C27" s="961" t="s">
        <v>1606</v>
      </c>
      <c r="D27" s="961"/>
      <c r="E27" s="961"/>
      <c r="F27"/>
      <c r="G27"/>
      <c r="H27" s="92" t="s">
        <v>1607</v>
      </c>
      <c r="I27" s="851" t="s">
        <v>1152</v>
      </c>
      <c r="J27" s="94" t="s">
        <v>1153</v>
      </c>
      <c r="L27"/>
      <c r="M27" s="92" t="s">
        <v>1607</v>
      </c>
      <c r="N27" s="851" t="s">
        <v>1152</v>
      </c>
      <c r="O27" s="94" t="s">
        <v>1153</v>
      </c>
    </row>
    <row r="28" spans="1:22" ht="14.5" x14ac:dyDescent="0.35">
      <c r="A28" s="850">
        <v>42</v>
      </c>
      <c r="B28" s="849">
        <f>(((343.96*100))/A28)/2</f>
        <v>409.47619047619048</v>
      </c>
      <c r="C28" s="51">
        <f>((343.96*100)*2)/A28</f>
        <v>1637.9047619047619</v>
      </c>
      <c r="D28" s="51">
        <f>C28/2</f>
        <v>818.95238095238096</v>
      </c>
      <c r="E28" s="852">
        <f>(D28*0.0317224829)*10</f>
        <v>259.79202900676194</v>
      </c>
      <c r="F28"/>
      <c r="G28" s="853">
        <f>0.75*25.4</f>
        <v>19.049999999999997</v>
      </c>
      <c r="H28" s="854">
        <f>343.35/(G28*0.001)</f>
        <v>18023.622047244098</v>
      </c>
      <c r="I28" s="855">
        <f>H28/2</f>
        <v>9011.8110236220491</v>
      </c>
      <c r="J28" s="856">
        <f>I28/2</f>
        <v>4505.9055118110246</v>
      </c>
      <c r="L28" s="857">
        <v>0.75</v>
      </c>
      <c r="M28" s="854">
        <f>1126.48/(L28/12)</f>
        <v>18023.68</v>
      </c>
      <c r="N28" s="855">
        <f>M28/2</f>
        <v>9011.84</v>
      </c>
      <c r="O28" s="856">
        <f>N28/2</f>
        <v>4505.92</v>
      </c>
    </row>
    <row r="29" spans="1:22" ht="14.5" x14ac:dyDescent="0.35">
      <c r="A29"/>
      <c r="B29"/>
      <c r="C29"/>
      <c r="D29" s="176"/>
      <c r="E29"/>
      <c r="F29"/>
      <c r="G29" s="853">
        <f>G28+19.05</f>
        <v>38.099999999999994</v>
      </c>
      <c r="H29" s="854">
        <f t="shared" ref="H29:H45" si="0">343.35/(G29*0.001)</f>
        <v>9011.8110236220491</v>
      </c>
      <c r="I29" s="855">
        <f t="shared" ref="I29:J44" si="1">H29/2</f>
        <v>4505.9055118110246</v>
      </c>
      <c r="J29" s="856">
        <f t="shared" si="1"/>
        <v>2252.9527559055123</v>
      </c>
      <c r="L29" s="857">
        <v>1.5</v>
      </c>
      <c r="M29" s="854">
        <f>1126.48/(L29/12)</f>
        <v>9011.84</v>
      </c>
      <c r="N29" s="855">
        <f t="shared" ref="N29:O44" si="2">M29/2</f>
        <v>4505.92</v>
      </c>
      <c r="O29" s="856">
        <f t="shared" si="2"/>
        <v>2252.96</v>
      </c>
    </row>
    <row r="30" spans="1:22" ht="14.5" x14ac:dyDescent="0.35">
      <c r="A30"/>
      <c r="B30"/>
      <c r="C30"/>
      <c r="D30" s="176"/>
      <c r="E30"/>
      <c r="F30"/>
      <c r="G30" s="853">
        <f>G29+12.7</f>
        <v>50.8</v>
      </c>
      <c r="H30" s="854">
        <f t="shared" si="0"/>
        <v>6758.8582677165359</v>
      </c>
      <c r="I30" s="855">
        <f t="shared" si="1"/>
        <v>3379.429133858268</v>
      </c>
      <c r="J30" s="856">
        <f t="shared" si="1"/>
        <v>1689.714566929134</v>
      </c>
      <c r="L30" s="857">
        <v>2</v>
      </c>
      <c r="M30" s="854">
        <f t="shared" ref="M30:M51" si="3">1126.48/(L30/12)</f>
        <v>6758.88</v>
      </c>
      <c r="N30" s="855">
        <f t="shared" si="2"/>
        <v>3379.44</v>
      </c>
      <c r="O30" s="856">
        <f t="shared" si="2"/>
        <v>1689.72</v>
      </c>
    </row>
    <row r="31" spans="1:22" ht="14.5" x14ac:dyDescent="0.35">
      <c r="A31"/>
      <c r="B31"/>
      <c r="C31"/>
      <c r="D31" s="176"/>
      <c r="E31"/>
      <c r="F31"/>
      <c r="G31" s="853">
        <f>G30+50.8</f>
        <v>101.6</v>
      </c>
      <c r="H31" s="854">
        <f t="shared" si="0"/>
        <v>3379.429133858268</v>
      </c>
      <c r="I31" s="855">
        <f t="shared" si="1"/>
        <v>1689.714566929134</v>
      </c>
      <c r="J31" s="856">
        <f t="shared" si="1"/>
        <v>844.85728346456699</v>
      </c>
      <c r="L31" s="857">
        <v>4</v>
      </c>
      <c r="M31" s="854">
        <f t="shared" si="3"/>
        <v>3379.44</v>
      </c>
      <c r="N31" s="855">
        <f t="shared" si="2"/>
        <v>1689.72</v>
      </c>
      <c r="O31" s="856">
        <f t="shared" si="2"/>
        <v>844.86</v>
      </c>
    </row>
    <row r="32" spans="1:22" ht="14.5" x14ac:dyDescent="0.35">
      <c r="A32"/>
      <c r="B32"/>
      <c r="C32"/>
      <c r="D32" s="176"/>
      <c r="E32"/>
      <c r="F32"/>
      <c r="G32" s="853">
        <f t="shared" ref="G32:G45" si="4">G31+50.8</f>
        <v>152.39999999999998</v>
      </c>
      <c r="H32" s="854">
        <f t="shared" si="0"/>
        <v>2252.9527559055123</v>
      </c>
      <c r="I32" s="855">
        <f t="shared" si="1"/>
        <v>1126.4763779527561</v>
      </c>
      <c r="J32" s="856">
        <f t="shared" si="1"/>
        <v>563.23818897637807</v>
      </c>
      <c r="L32" s="857">
        <v>6</v>
      </c>
      <c r="M32" s="854">
        <f t="shared" si="3"/>
        <v>2252.96</v>
      </c>
      <c r="N32" s="855">
        <f t="shared" si="2"/>
        <v>1126.48</v>
      </c>
      <c r="O32" s="856">
        <f t="shared" si="2"/>
        <v>563.24</v>
      </c>
    </row>
    <row r="33" spans="1:15" ht="14.5" x14ac:dyDescent="0.35">
      <c r="A33"/>
      <c r="B33"/>
      <c r="C33"/>
      <c r="D33" s="176"/>
      <c r="E33"/>
      <c r="F33"/>
      <c r="G33" s="853">
        <f t="shared" si="4"/>
        <v>203.2</v>
      </c>
      <c r="H33" s="854">
        <f t="shared" si="0"/>
        <v>1689.714566929134</v>
      </c>
      <c r="I33" s="855">
        <f t="shared" si="1"/>
        <v>844.85728346456699</v>
      </c>
      <c r="J33" s="856">
        <f t="shared" si="1"/>
        <v>422.4286417322835</v>
      </c>
      <c r="L33" s="857">
        <v>8</v>
      </c>
      <c r="M33" s="854">
        <f t="shared" si="3"/>
        <v>1689.72</v>
      </c>
      <c r="N33" s="855">
        <f t="shared" si="2"/>
        <v>844.86</v>
      </c>
      <c r="O33" s="856">
        <f t="shared" si="2"/>
        <v>422.43</v>
      </c>
    </row>
    <row r="34" spans="1:15" ht="14.5" x14ac:dyDescent="0.35">
      <c r="A34"/>
      <c r="B34"/>
      <c r="C34"/>
      <c r="D34" s="176"/>
      <c r="E34"/>
      <c r="F34"/>
      <c r="G34" s="853">
        <f t="shared" si="4"/>
        <v>254</v>
      </c>
      <c r="H34" s="854">
        <f t="shared" si="0"/>
        <v>1351.7716535433071</v>
      </c>
      <c r="I34" s="855">
        <f t="shared" si="1"/>
        <v>675.88582677165357</v>
      </c>
      <c r="J34" s="856">
        <f t="shared" si="1"/>
        <v>337.94291338582678</v>
      </c>
      <c r="L34" s="857">
        <v>10</v>
      </c>
      <c r="M34" s="854">
        <f t="shared" si="3"/>
        <v>1351.7760000000001</v>
      </c>
      <c r="N34" s="855">
        <f t="shared" si="2"/>
        <v>675.88800000000003</v>
      </c>
      <c r="O34" s="856">
        <f t="shared" si="2"/>
        <v>337.94400000000002</v>
      </c>
    </row>
    <row r="35" spans="1:15" x14ac:dyDescent="0.25">
      <c r="A35" s="3"/>
      <c r="B35"/>
      <c r="C35"/>
      <c r="D35"/>
      <c r="E35"/>
      <c r="F35"/>
      <c r="G35" s="853">
        <f t="shared" si="4"/>
        <v>304.8</v>
      </c>
      <c r="H35" s="854">
        <f t="shared" si="0"/>
        <v>1126.4763779527559</v>
      </c>
      <c r="I35" s="855">
        <f t="shared" si="1"/>
        <v>563.23818897637796</v>
      </c>
      <c r="J35" s="856">
        <f t="shared" si="1"/>
        <v>281.61909448818898</v>
      </c>
      <c r="L35" s="857">
        <v>12</v>
      </c>
      <c r="M35" s="854">
        <f t="shared" si="3"/>
        <v>1126.48</v>
      </c>
      <c r="N35" s="855">
        <f t="shared" si="2"/>
        <v>563.24</v>
      </c>
      <c r="O35" s="856">
        <f t="shared" si="2"/>
        <v>281.62</v>
      </c>
    </row>
    <row r="36" spans="1:15" x14ac:dyDescent="0.25">
      <c r="A36" s="3"/>
      <c r="B36"/>
      <c r="C36"/>
      <c r="D36"/>
      <c r="E36"/>
      <c r="F36"/>
      <c r="G36" s="853">
        <f t="shared" si="4"/>
        <v>355.6</v>
      </c>
      <c r="H36" s="854">
        <f t="shared" si="0"/>
        <v>965.55118110236219</v>
      </c>
      <c r="I36" s="855">
        <f t="shared" si="1"/>
        <v>482.7755905511811</v>
      </c>
      <c r="J36" s="856">
        <f t="shared" si="1"/>
        <v>241.38779527559055</v>
      </c>
      <c r="L36" s="857">
        <v>14</v>
      </c>
      <c r="M36" s="854">
        <f t="shared" si="3"/>
        <v>965.5542857142857</v>
      </c>
      <c r="N36" s="855">
        <f t="shared" si="2"/>
        <v>482.77714285714285</v>
      </c>
      <c r="O36" s="856">
        <f t="shared" si="2"/>
        <v>241.38857142857142</v>
      </c>
    </row>
    <row r="37" spans="1:15" x14ac:dyDescent="0.25">
      <c r="F37"/>
      <c r="G37" s="853">
        <f t="shared" si="4"/>
        <v>406.40000000000003</v>
      </c>
      <c r="H37" s="854">
        <f t="shared" si="0"/>
        <v>844.85728346456688</v>
      </c>
      <c r="I37" s="855">
        <f t="shared" si="1"/>
        <v>422.42864173228344</v>
      </c>
      <c r="J37" s="856">
        <f t="shared" si="1"/>
        <v>211.21432086614172</v>
      </c>
      <c r="L37" s="857">
        <v>16</v>
      </c>
      <c r="M37" s="854">
        <f t="shared" si="3"/>
        <v>844.86</v>
      </c>
      <c r="N37" s="855">
        <f t="shared" si="2"/>
        <v>422.43</v>
      </c>
      <c r="O37" s="856">
        <f t="shared" si="2"/>
        <v>211.215</v>
      </c>
    </row>
    <row r="38" spans="1:15" x14ac:dyDescent="0.25">
      <c r="F38"/>
      <c r="G38" s="853">
        <f t="shared" si="4"/>
        <v>457.20000000000005</v>
      </c>
      <c r="H38" s="854">
        <f t="shared" si="0"/>
        <v>750.98425196850394</v>
      </c>
      <c r="I38" s="855">
        <f t="shared" si="1"/>
        <v>375.49212598425197</v>
      </c>
      <c r="J38" s="856">
        <f t="shared" si="1"/>
        <v>187.74606299212599</v>
      </c>
      <c r="L38" s="857">
        <v>18</v>
      </c>
      <c r="M38" s="854">
        <f t="shared" si="3"/>
        <v>750.98666666666668</v>
      </c>
      <c r="N38" s="855">
        <f t="shared" si="2"/>
        <v>375.49333333333334</v>
      </c>
      <c r="O38" s="856">
        <f t="shared" si="2"/>
        <v>187.74666666666667</v>
      </c>
    </row>
    <row r="39" spans="1:15" x14ac:dyDescent="0.25">
      <c r="F39"/>
      <c r="G39" s="853">
        <f t="shared" si="4"/>
        <v>508.00000000000006</v>
      </c>
      <c r="H39" s="854">
        <f t="shared" si="0"/>
        <v>675.88582677165346</v>
      </c>
      <c r="I39" s="855">
        <f t="shared" si="1"/>
        <v>337.94291338582673</v>
      </c>
      <c r="J39" s="856">
        <f t="shared" si="1"/>
        <v>168.97145669291336</v>
      </c>
      <c r="L39" s="857">
        <v>20</v>
      </c>
      <c r="M39" s="854">
        <f t="shared" si="3"/>
        <v>675.88800000000003</v>
      </c>
      <c r="N39" s="855">
        <f t="shared" si="2"/>
        <v>337.94400000000002</v>
      </c>
      <c r="O39" s="856">
        <f t="shared" si="2"/>
        <v>168.97200000000001</v>
      </c>
    </row>
    <row r="40" spans="1:15" x14ac:dyDescent="0.25">
      <c r="F40"/>
      <c r="G40" s="853">
        <f t="shared" si="4"/>
        <v>558.80000000000007</v>
      </c>
      <c r="H40" s="854">
        <f t="shared" si="0"/>
        <v>614.44166070150322</v>
      </c>
      <c r="I40" s="855">
        <f t="shared" si="1"/>
        <v>307.22083035075161</v>
      </c>
      <c r="J40" s="856">
        <f t="shared" si="1"/>
        <v>153.61041517537581</v>
      </c>
      <c r="L40" s="857">
        <v>22</v>
      </c>
      <c r="M40" s="854">
        <f t="shared" si="3"/>
        <v>614.44363636363641</v>
      </c>
      <c r="N40" s="855">
        <f t="shared" si="2"/>
        <v>307.22181818181821</v>
      </c>
      <c r="O40" s="856">
        <f t="shared" si="2"/>
        <v>153.6109090909091</v>
      </c>
    </row>
    <row r="41" spans="1:15" x14ac:dyDescent="0.25">
      <c r="F41"/>
      <c r="G41" s="853">
        <f t="shared" si="4"/>
        <v>609.6</v>
      </c>
      <c r="H41" s="854">
        <f t="shared" si="0"/>
        <v>563.23818897637796</v>
      </c>
      <c r="I41" s="855">
        <f t="shared" si="1"/>
        <v>281.61909448818898</v>
      </c>
      <c r="J41" s="856">
        <f t="shared" si="1"/>
        <v>140.80954724409449</v>
      </c>
      <c r="L41" s="857">
        <v>24</v>
      </c>
      <c r="M41" s="854">
        <f t="shared" si="3"/>
        <v>563.24</v>
      </c>
      <c r="N41" s="855">
        <f t="shared" si="2"/>
        <v>281.62</v>
      </c>
      <c r="O41" s="856">
        <f t="shared" si="2"/>
        <v>140.81</v>
      </c>
    </row>
    <row r="42" spans="1:15" x14ac:dyDescent="0.25">
      <c r="F42"/>
      <c r="G42" s="853">
        <f t="shared" si="4"/>
        <v>660.4</v>
      </c>
      <c r="H42" s="854">
        <f t="shared" si="0"/>
        <v>519.91217443973358</v>
      </c>
      <c r="I42" s="855">
        <f t="shared" si="1"/>
        <v>259.95608721986679</v>
      </c>
      <c r="J42" s="856">
        <f t="shared" si="1"/>
        <v>129.97804360993339</v>
      </c>
      <c r="L42" s="857">
        <v>26</v>
      </c>
      <c r="M42" s="854">
        <f t="shared" si="3"/>
        <v>519.91384615384618</v>
      </c>
      <c r="N42" s="855">
        <f t="shared" si="2"/>
        <v>259.95692307692309</v>
      </c>
      <c r="O42" s="856">
        <f t="shared" si="2"/>
        <v>129.97846153846154</v>
      </c>
    </row>
    <row r="43" spans="1:15" x14ac:dyDescent="0.25">
      <c r="F43"/>
      <c r="G43" s="853">
        <f t="shared" si="4"/>
        <v>711.19999999999993</v>
      </c>
      <c r="H43" s="854">
        <f t="shared" si="0"/>
        <v>482.77559055118115</v>
      </c>
      <c r="I43" s="855">
        <f t="shared" si="1"/>
        <v>241.38779527559058</v>
      </c>
      <c r="J43" s="856">
        <f t="shared" si="1"/>
        <v>120.69389763779529</v>
      </c>
      <c r="L43" s="857">
        <v>28</v>
      </c>
      <c r="M43" s="854">
        <f t="shared" si="3"/>
        <v>482.77714285714285</v>
      </c>
      <c r="N43" s="855">
        <f t="shared" si="2"/>
        <v>241.38857142857142</v>
      </c>
      <c r="O43" s="856">
        <f t="shared" si="2"/>
        <v>120.69428571428571</v>
      </c>
    </row>
    <row r="44" spans="1:15" x14ac:dyDescent="0.25">
      <c r="F44"/>
      <c r="G44" s="853">
        <f t="shared" si="4"/>
        <v>761.99999999999989</v>
      </c>
      <c r="H44" s="854">
        <f t="shared" si="0"/>
        <v>450.59055118110246</v>
      </c>
      <c r="I44" s="855">
        <f t="shared" si="1"/>
        <v>225.29527559055123</v>
      </c>
      <c r="J44" s="856">
        <f t="shared" si="1"/>
        <v>112.64763779527561</v>
      </c>
      <c r="L44" s="857">
        <v>30</v>
      </c>
      <c r="M44" s="854">
        <f t="shared" si="3"/>
        <v>450.59199999999998</v>
      </c>
      <c r="N44" s="855">
        <f t="shared" si="2"/>
        <v>225.29599999999999</v>
      </c>
      <c r="O44" s="856">
        <f t="shared" si="2"/>
        <v>112.648</v>
      </c>
    </row>
    <row r="45" spans="1:15" x14ac:dyDescent="0.25">
      <c r="F45"/>
      <c r="G45" s="853">
        <f t="shared" si="4"/>
        <v>812.79999999999984</v>
      </c>
      <c r="H45" s="854">
        <f t="shared" si="0"/>
        <v>422.42864173228355</v>
      </c>
      <c r="I45" s="855">
        <f t="shared" ref="I45:J45" si="5">H45/2</f>
        <v>211.21432086614178</v>
      </c>
      <c r="J45" s="856">
        <f t="shared" si="5"/>
        <v>105.60716043307089</v>
      </c>
      <c r="L45" s="857">
        <v>32</v>
      </c>
      <c r="M45" s="854">
        <f t="shared" si="3"/>
        <v>422.43</v>
      </c>
      <c r="N45" s="855">
        <f t="shared" ref="N45:O51" si="6">M45/2</f>
        <v>211.215</v>
      </c>
      <c r="O45" s="856">
        <f t="shared" si="6"/>
        <v>105.6075</v>
      </c>
    </row>
    <row r="46" spans="1:15" x14ac:dyDescent="0.25">
      <c r="F46"/>
      <c r="G46" s="853">
        <f t="shared" ref="G46:G53" si="7">G45+50.8</f>
        <v>863.5999999999998</v>
      </c>
      <c r="H46" s="854">
        <f t="shared" ref="H46:H53" si="8">343.35/(G46*0.001)</f>
        <v>397.5798981009728</v>
      </c>
      <c r="I46" s="855">
        <f t="shared" ref="I46:J53" si="9">H46/2</f>
        <v>198.7899490504864</v>
      </c>
      <c r="J46" s="856">
        <f t="shared" si="9"/>
        <v>99.3949745252432</v>
      </c>
      <c r="L46" s="857">
        <v>36</v>
      </c>
      <c r="M46" s="854">
        <f t="shared" si="3"/>
        <v>375.49333333333334</v>
      </c>
      <c r="N46" s="855">
        <f t="shared" si="6"/>
        <v>187.74666666666667</v>
      </c>
      <c r="O46" s="856">
        <f t="shared" si="6"/>
        <v>93.873333333333335</v>
      </c>
    </row>
    <row r="47" spans="1:15" x14ac:dyDescent="0.25">
      <c r="F47"/>
      <c r="G47" s="853">
        <f t="shared" si="7"/>
        <v>914.39999999999975</v>
      </c>
      <c r="H47" s="854">
        <f t="shared" si="8"/>
        <v>375.49212598425208</v>
      </c>
      <c r="I47" s="855">
        <f t="shared" si="9"/>
        <v>187.74606299212604</v>
      </c>
      <c r="J47" s="856">
        <f t="shared" si="9"/>
        <v>93.873031496063021</v>
      </c>
      <c r="L47" s="857">
        <v>38</v>
      </c>
      <c r="M47" s="854">
        <f t="shared" si="3"/>
        <v>355.73052631578952</v>
      </c>
      <c r="N47" s="855">
        <f t="shared" si="6"/>
        <v>177.86526315789476</v>
      </c>
      <c r="O47" s="856">
        <f t="shared" si="6"/>
        <v>88.93263157894738</v>
      </c>
    </row>
    <row r="48" spans="1:15" x14ac:dyDescent="0.25">
      <c r="F48"/>
      <c r="G48" s="853">
        <f t="shared" si="7"/>
        <v>965.1999999999997</v>
      </c>
      <c r="H48" s="854">
        <f t="shared" si="8"/>
        <v>355.72938251139675</v>
      </c>
      <c r="I48" s="855">
        <f t="shared" si="9"/>
        <v>177.86469125569838</v>
      </c>
      <c r="J48" s="856">
        <f t="shared" si="9"/>
        <v>88.932345627849188</v>
      </c>
      <c r="L48" s="857">
        <v>40</v>
      </c>
      <c r="M48" s="854">
        <f t="shared" si="3"/>
        <v>337.94400000000002</v>
      </c>
      <c r="N48" s="855">
        <f t="shared" si="6"/>
        <v>168.97200000000001</v>
      </c>
      <c r="O48" s="856">
        <f t="shared" si="6"/>
        <v>84.486000000000004</v>
      </c>
    </row>
    <row r="49" spans="6:15" x14ac:dyDescent="0.25">
      <c r="F49"/>
      <c r="G49" s="853">
        <f t="shared" si="7"/>
        <v>1015.9999999999997</v>
      </c>
      <c r="H49" s="854">
        <f t="shared" si="8"/>
        <v>337.94291338582696</v>
      </c>
      <c r="I49" s="855">
        <f t="shared" si="9"/>
        <v>168.97145669291348</v>
      </c>
      <c r="J49" s="856">
        <f t="shared" si="9"/>
        <v>84.485728346456739</v>
      </c>
      <c r="L49" s="857">
        <v>42</v>
      </c>
      <c r="M49" s="854">
        <f t="shared" si="3"/>
        <v>321.85142857142858</v>
      </c>
      <c r="N49" s="855">
        <f t="shared" si="6"/>
        <v>160.92571428571429</v>
      </c>
      <c r="O49" s="856">
        <f t="shared" si="6"/>
        <v>80.462857142857146</v>
      </c>
    </row>
    <row r="50" spans="6:15" x14ac:dyDescent="0.25">
      <c r="F50"/>
      <c r="G50" s="853">
        <f t="shared" si="7"/>
        <v>1066.7999999999997</v>
      </c>
      <c r="H50" s="854">
        <f t="shared" si="8"/>
        <v>321.85039370078749</v>
      </c>
      <c r="I50" s="855">
        <f t="shared" si="9"/>
        <v>160.92519685039375</v>
      </c>
      <c r="J50" s="856">
        <f t="shared" si="9"/>
        <v>80.462598425196873</v>
      </c>
      <c r="L50" s="857">
        <v>46</v>
      </c>
      <c r="M50" s="854">
        <f t="shared" si="3"/>
        <v>293.86434782608694</v>
      </c>
      <c r="N50" s="855">
        <f t="shared" si="6"/>
        <v>146.93217391304347</v>
      </c>
      <c r="O50" s="856">
        <f t="shared" si="6"/>
        <v>73.466086956521735</v>
      </c>
    </row>
    <row r="51" spans="6:15" x14ac:dyDescent="0.25">
      <c r="F51"/>
      <c r="G51" s="853">
        <f t="shared" si="7"/>
        <v>1117.5999999999997</v>
      </c>
      <c r="H51" s="854">
        <f t="shared" si="8"/>
        <v>307.22083035075173</v>
      </c>
      <c r="I51" s="855">
        <f t="shared" si="9"/>
        <v>153.61041517537586</v>
      </c>
      <c r="J51" s="856">
        <f t="shared" si="9"/>
        <v>76.805207587687931</v>
      </c>
      <c r="L51" s="857">
        <v>48</v>
      </c>
      <c r="M51" s="854">
        <f t="shared" si="3"/>
        <v>281.62</v>
      </c>
      <c r="N51" s="855">
        <f t="shared" si="6"/>
        <v>140.81</v>
      </c>
      <c r="O51" s="856">
        <f t="shared" si="6"/>
        <v>70.405000000000001</v>
      </c>
    </row>
    <row r="52" spans="6:15" x14ac:dyDescent="0.25">
      <c r="F52"/>
      <c r="G52" s="853">
        <f t="shared" si="7"/>
        <v>1168.3999999999996</v>
      </c>
      <c r="H52" s="854">
        <f t="shared" si="8"/>
        <v>293.86340294419728</v>
      </c>
      <c r="I52" s="855">
        <f t="shared" si="9"/>
        <v>146.93170147209864</v>
      </c>
      <c r="J52" s="856">
        <f t="shared" si="9"/>
        <v>73.465850736049319</v>
      </c>
      <c r="L52" s="857">
        <v>72</v>
      </c>
      <c r="M52" s="854">
        <f t="shared" ref="M52:M53" si="10">1126.48/(L52/12)</f>
        <v>187.74666666666667</v>
      </c>
      <c r="N52" s="855">
        <f t="shared" ref="N52:N53" si="11">M52/2</f>
        <v>93.873333333333335</v>
      </c>
      <c r="O52" s="856">
        <f t="shared" ref="O52:O53" si="12">N52/2</f>
        <v>46.936666666666667</v>
      </c>
    </row>
    <row r="53" spans="6:15" x14ac:dyDescent="0.25">
      <c r="F53"/>
      <c r="G53" s="853">
        <f t="shared" si="7"/>
        <v>1219.1999999999996</v>
      </c>
      <c r="H53" s="854">
        <f t="shared" si="8"/>
        <v>281.61909448818909</v>
      </c>
      <c r="I53" s="855">
        <f t="shared" si="9"/>
        <v>140.80954724409455</v>
      </c>
      <c r="J53" s="856">
        <f t="shared" si="9"/>
        <v>70.404773622047273</v>
      </c>
      <c r="L53" s="857">
        <v>96</v>
      </c>
      <c r="M53" s="854">
        <f t="shared" si="10"/>
        <v>140.81</v>
      </c>
      <c r="N53" s="855">
        <f t="shared" si="11"/>
        <v>70.405000000000001</v>
      </c>
      <c r="O53" s="856">
        <f t="shared" si="12"/>
        <v>35.202500000000001</v>
      </c>
    </row>
  </sheetData>
  <mergeCells count="7">
    <mergeCell ref="C27:E27"/>
    <mergeCell ref="L26:O26"/>
    <mergeCell ref="J3:K7"/>
    <mergeCell ref="B21:C21"/>
    <mergeCell ref="A19:D19"/>
    <mergeCell ref="B20:C20"/>
    <mergeCell ref="G26:J26"/>
  </mergeCells>
  <pageMargins left="0.7" right="0.7" top="0.75" bottom="0.75" header="0.3" footer="0.3"/>
  <pageSetup paperSize="9" orientation="portrait" horizontalDpi="4294967292"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Reflections &amp; Timing</vt:lpstr>
      <vt:lpstr>FLOOR BOUNCE Far Field Imperial</vt:lpstr>
      <vt:lpstr>FLOOR BOUNCE Far Field Metric</vt:lpstr>
      <vt:lpstr>Nearfield - FLOOR BOUNCE </vt:lpstr>
      <vt:lpstr>MAM Calc</vt:lpstr>
      <vt:lpstr>Steel sheet weights</vt:lpstr>
      <vt:lpstr>Trap depths &amp; related calcs</vt:lpstr>
      <vt:lpstr>CEILING WEIGHT CALCULATOR</vt:lpstr>
      <vt:lpstr>Diffusors &amp; Poly Distance Calc</vt:lpstr>
      <vt:lpstr>Materials Mass</vt:lpstr>
      <vt:lpstr>Pressure Conversions</vt:lpstr>
      <vt:lpstr>3rds Octave Bands</vt:lpstr>
      <vt:lpstr>Speed of Sound</vt:lpstr>
      <vt:lpstr>dB IL - Power</vt:lpstr>
      <vt:lpstr>dB SPL - Pressure</vt:lpstr>
      <vt:lpstr>dB HL</vt:lpstr>
      <vt:lpstr>dB sl</vt:lpstr>
      <vt:lpstr>Power - Wire - gauges</vt:lpstr>
      <vt:lpstr>Mass-Inertia-dB</vt:lpstr>
      <vt:lpstr>Weighting Scale w-ISL</vt:lpstr>
      <vt:lpstr>Air Attenuation</vt:lpstr>
    </vt:vector>
  </TitlesOfParts>
  <Company>JavAkustik, Indonesia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Acoustic Calculations</dc:title>
  <dc:subject>Room Acoustics</dc:subject>
  <dc:creator>John H Brandt</dc:creator>
  <dc:description>For more information go to http://jhbrandt.net
Care has been taken to avoid errors, however if you find errors or you have any questions, please contact me - john@jhbrandt.net. Thank you.</dc:description>
  <cp:lastModifiedBy>John H Brandt</cp:lastModifiedBy>
  <dcterms:created xsi:type="dcterms:W3CDTF">2010-03-09T11:33:48Z</dcterms:created>
  <dcterms:modified xsi:type="dcterms:W3CDTF">2024-10-10T15:54:25Z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2023-01-22T08:43:48Z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b8c4a5b1-9456-4492-871d-e0a2d8fc6504</vt:lpwstr>
  </property>
  <property fmtid="{D5CDD505-2E9C-101B-9397-08002B2CF9AE}" pid="7" name="MSIP_Label_defa4170-0d19-0005-0004-bc88714345d2_ActionId">
    <vt:lpwstr>a583f2e3-a398-4c0a-8931-0d301a0751b3</vt:lpwstr>
  </property>
  <property fmtid="{D5CDD505-2E9C-101B-9397-08002B2CF9AE}" pid="8" name="MSIP_Label_defa4170-0d19-0005-0004-bc88714345d2_ContentBits">
    <vt:lpwstr>0</vt:lpwstr>
  </property>
</Properties>
</file>